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b\Home-page（事務部ホームページ）\syomu\K anzen_eisei\"/>
    </mc:Choice>
  </mc:AlternateContent>
  <bookViews>
    <workbookView xWindow="3135" yWindow="600" windowWidth="26265" windowHeight="31245"/>
  </bookViews>
  <sheets>
    <sheet name="実施シート" sheetId="1" r:id="rId1"/>
    <sheet name="縮小版" sheetId="9" r:id="rId2"/>
    <sheet name="縮小版data" sheetId="7" r:id="rId3"/>
    <sheet name="法規" sheetId="3" state="hidden" r:id="rId4"/>
    <sheet name="HL" sheetId="4" state="hidden" r:id="rId5"/>
    <sheet name="RL" sheetId="2" state="hidden" r:id="rId6"/>
    <sheet name="CRA" sheetId="10" state="hidden" r:id="rId7"/>
    <sheet name="memo" sheetId="11" state="hidden" r:id="rId8"/>
  </sheets>
  <definedNames>
    <definedName name="Flammable">法規!$H$9:$H$20</definedName>
    <definedName name="Subgroup">法規!$H$10:$H$20</definedName>
    <definedName name="消防法分類">法規!$D$8:$M$8</definedName>
    <definedName name="第四類">法規!$H$10:$H$21</definedName>
    <definedName name="特化物">法規!$O$8:$O$13</definedName>
    <definedName name="毒劇物分類">法規!$B$8:$B$13</definedName>
    <definedName name="有機溶剤">法規!$P$8:$P$13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4" l="1"/>
  <c r="M51" i="4"/>
  <c r="D53" i="4"/>
  <c r="M53" i="4"/>
  <c r="M55" i="4"/>
  <c r="D27" i="4"/>
  <c r="K27" i="4"/>
  <c r="M27" i="4"/>
  <c r="D26" i="4"/>
  <c r="K26" i="4"/>
  <c r="M26" i="4"/>
  <c r="D25" i="4"/>
  <c r="K25" i="4"/>
  <c r="M25" i="4"/>
  <c r="D28" i="4"/>
  <c r="K28" i="4"/>
  <c r="M28" i="4"/>
  <c r="D29" i="4"/>
  <c r="K29" i="4"/>
  <c r="M29" i="4"/>
  <c r="D35" i="4"/>
  <c r="K35" i="4"/>
  <c r="M35" i="4"/>
  <c r="M43" i="4"/>
  <c r="M44" i="4"/>
  <c r="K58" i="4"/>
  <c r="K40" i="2"/>
  <c r="C7" i="2"/>
  <c r="D7" i="2"/>
  <c r="E7" i="2"/>
  <c r="K37" i="2"/>
  <c r="L40" i="2"/>
  <c r="D10" i="4"/>
  <c r="O10" i="4"/>
  <c r="R10" i="4"/>
  <c r="R21" i="4"/>
  <c r="K60" i="4"/>
  <c r="K42" i="2"/>
  <c r="L42" i="2"/>
  <c r="D12" i="4"/>
  <c r="O12" i="4"/>
  <c r="P12" i="4"/>
  <c r="D13" i="4"/>
  <c r="O13" i="4"/>
  <c r="P13" i="4"/>
  <c r="D14" i="4"/>
  <c r="O14" i="4"/>
  <c r="P14" i="4"/>
  <c r="D16" i="4"/>
  <c r="O16" i="4"/>
  <c r="P16" i="4"/>
  <c r="D19" i="4"/>
  <c r="O19" i="4"/>
  <c r="P19" i="4"/>
  <c r="P21" i="4"/>
  <c r="K59" i="4"/>
  <c r="K41" i="2"/>
  <c r="L41" i="2"/>
  <c r="L43" i="2"/>
  <c r="L45" i="2"/>
  <c r="M40" i="2"/>
  <c r="M41" i="2"/>
  <c r="M42" i="2"/>
  <c r="M45" i="2"/>
  <c r="L48" i="2"/>
  <c r="M8" i="7"/>
  <c r="M7" i="9"/>
  <c r="L44" i="2"/>
  <c r="L46" i="2"/>
  <c r="M44" i="2"/>
  <c r="M46" i="2"/>
  <c r="L49" i="2"/>
  <c r="M5" i="7"/>
  <c r="L67" i="1"/>
  <c r="H14" i="1"/>
  <c r="Q53" i="4"/>
  <c r="R53" i="4"/>
  <c r="D52" i="4"/>
  <c r="N52" i="4"/>
  <c r="R52" i="4"/>
  <c r="R55" i="4"/>
  <c r="L67" i="4"/>
  <c r="C8" i="7"/>
  <c r="C8" i="9"/>
  <c r="P27" i="7"/>
  <c r="J6" i="7"/>
  <c r="I8" i="7"/>
  <c r="I7" i="7"/>
  <c r="L66" i="1"/>
  <c r="D6" i="1"/>
  <c r="D5" i="1"/>
  <c r="P36" i="7"/>
  <c r="E5" i="7"/>
  <c r="D38" i="4"/>
  <c r="K38" i="4"/>
  <c r="L38" i="4"/>
  <c r="S38" i="4"/>
  <c r="D39" i="4"/>
  <c r="K39" i="4"/>
  <c r="L39" i="4"/>
  <c r="S39" i="4"/>
  <c r="D40" i="4"/>
  <c r="K40" i="4"/>
  <c r="L40" i="4"/>
  <c r="S40" i="4"/>
  <c r="C13" i="2"/>
  <c r="D13" i="2"/>
  <c r="F13" i="2"/>
  <c r="H13" i="2"/>
  <c r="H7" i="2"/>
  <c r="C9" i="2"/>
  <c r="D9" i="2"/>
  <c r="E9" i="2"/>
  <c r="F9" i="2"/>
  <c r="H9" i="2"/>
  <c r="H17" i="2"/>
  <c r="H7" i="7"/>
  <c r="D31" i="4"/>
  <c r="K31" i="4"/>
  <c r="N31" i="4"/>
  <c r="N43" i="4"/>
  <c r="N44" i="4"/>
  <c r="K62" i="4"/>
  <c r="P29" i="7"/>
  <c r="D30" i="4"/>
  <c r="K30" i="4"/>
  <c r="O30" i="4"/>
  <c r="O43" i="4"/>
  <c r="O44" i="4"/>
  <c r="K61" i="4"/>
  <c r="P28" i="7"/>
  <c r="K6" i="7"/>
  <c r="P26" i="7"/>
  <c r="L5" i="7"/>
  <c r="T61" i="4"/>
  <c r="L35" i="4"/>
  <c r="L25" i="4"/>
  <c r="L26" i="4"/>
  <c r="L27" i="4"/>
  <c r="L28" i="4"/>
  <c r="L29" i="4"/>
  <c r="L30" i="4"/>
  <c r="L31" i="4"/>
  <c r="D32" i="4"/>
  <c r="K32" i="4"/>
  <c r="L32" i="4"/>
  <c r="D33" i="4"/>
  <c r="K33" i="4"/>
  <c r="L33" i="4"/>
  <c r="D34" i="4"/>
  <c r="K34" i="4"/>
  <c r="L34" i="4"/>
  <c r="D36" i="4"/>
  <c r="K36" i="4"/>
  <c r="L36" i="4"/>
  <c r="D41" i="4"/>
  <c r="K41" i="4"/>
  <c r="L41" i="4"/>
  <c r="D37" i="4"/>
  <c r="K37" i="4"/>
  <c r="L37" i="4"/>
  <c r="K42" i="4"/>
  <c r="L42" i="4"/>
  <c r="L44" i="4"/>
  <c r="K63" i="4"/>
  <c r="F51" i="1"/>
  <c r="C5" i="2"/>
  <c r="D5" i="2"/>
  <c r="E5" i="2"/>
  <c r="F5" i="2"/>
  <c r="F7" i="2"/>
  <c r="C8" i="2"/>
  <c r="D8" i="2"/>
  <c r="E8" i="2"/>
  <c r="F8" i="2"/>
  <c r="F10" i="2"/>
  <c r="F12" i="2"/>
  <c r="G12" i="2"/>
  <c r="F14" i="2"/>
  <c r="G14" i="2"/>
  <c r="F15" i="2"/>
  <c r="D15" i="2"/>
  <c r="D18" i="2"/>
  <c r="K78" i="4"/>
  <c r="T63" i="4"/>
  <c r="N53" i="4"/>
  <c r="N55" i="4"/>
  <c r="K67" i="4"/>
  <c r="T62" i="4"/>
  <c r="T66" i="4"/>
  <c r="K76" i="4"/>
  <c r="P38" i="7"/>
  <c r="K5" i="7"/>
  <c r="H6" i="7"/>
  <c r="I6" i="7"/>
  <c r="I5" i="7"/>
  <c r="P25" i="7"/>
  <c r="H5" i="7"/>
  <c r="S26" i="4"/>
  <c r="S27" i="4"/>
  <c r="S28" i="4"/>
  <c r="S29" i="4"/>
  <c r="S33" i="4"/>
  <c r="S36" i="4"/>
  <c r="S37" i="4"/>
  <c r="S43" i="4"/>
  <c r="L70" i="4"/>
  <c r="D10" i="7"/>
  <c r="R35" i="4"/>
  <c r="R32" i="4"/>
  <c r="R34" i="4"/>
  <c r="R43" i="4"/>
  <c r="L69" i="4"/>
  <c r="D9" i="7"/>
  <c r="C16" i="4"/>
  <c r="H16" i="4"/>
  <c r="Q29" i="4"/>
  <c r="Q28" i="4"/>
  <c r="Q27" i="4"/>
  <c r="Q26" i="4"/>
  <c r="Q25" i="4"/>
  <c r="Q43" i="4"/>
  <c r="Q35" i="4"/>
  <c r="Q44" i="4"/>
  <c r="Q51" i="4"/>
  <c r="Q55" i="4"/>
  <c r="Q56" i="4"/>
  <c r="L58" i="4"/>
  <c r="J50" i="4"/>
  <c r="D50" i="4"/>
  <c r="I50" i="4"/>
  <c r="K72" i="1"/>
  <c r="L60" i="1"/>
  <c r="D71" i="1"/>
  <c r="H49" i="1"/>
  <c r="H47" i="1"/>
  <c r="H37" i="1"/>
  <c r="H31" i="1"/>
  <c r="H30" i="1"/>
  <c r="H29" i="1"/>
  <c r="H28" i="1"/>
  <c r="H27" i="1"/>
  <c r="H23" i="1"/>
  <c r="H20" i="1"/>
  <c r="H18" i="1"/>
  <c r="H17" i="1"/>
  <c r="H16" i="1"/>
  <c r="F62" i="1"/>
  <c r="G73" i="1"/>
  <c r="T51" i="4"/>
  <c r="L72" i="4"/>
  <c r="I73" i="1"/>
  <c r="K69" i="1"/>
  <c r="K68" i="1"/>
  <c r="K67" i="1"/>
  <c r="K66" i="1"/>
  <c r="B55" i="1"/>
  <c r="B61" i="1"/>
  <c r="F73" i="1"/>
  <c r="K65" i="1"/>
  <c r="J8" i="1"/>
  <c r="F72" i="1"/>
  <c r="D11" i="7"/>
  <c r="D11" i="9"/>
  <c r="D12" i="7"/>
  <c r="C76" i="1"/>
  <c r="C75" i="1"/>
  <c r="H33" i="1"/>
  <c r="H32" i="1"/>
  <c r="D5" i="4"/>
  <c r="O5" i="4"/>
  <c r="Q5" i="4"/>
  <c r="H13" i="1"/>
  <c r="G40" i="1"/>
  <c r="G41" i="1"/>
  <c r="G42" i="1"/>
  <c r="G43" i="1"/>
  <c r="E50" i="4"/>
  <c r="H45" i="1"/>
  <c r="E11" i="7"/>
  <c r="D75" i="1"/>
  <c r="B81" i="1"/>
  <c r="L1" i="1"/>
  <c r="L62" i="1"/>
  <c r="G12" i="1"/>
  <c r="E58" i="4"/>
  <c r="E59" i="4"/>
  <c r="P27" i="4"/>
  <c r="X31" i="4"/>
  <c r="Z37" i="4"/>
  <c r="E60" i="4"/>
  <c r="Z39" i="4"/>
  <c r="W39" i="4"/>
  <c r="W38" i="4"/>
  <c r="Z38" i="4"/>
  <c r="Y33" i="4"/>
  <c r="Y43" i="4"/>
  <c r="P33" i="4"/>
  <c r="Z29" i="4"/>
  <c r="V29" i="4"/>
  <c r="W40" i="4"/>
  <c r="W36" i="4"/>
  <c r="W32" i="4"/>
  <c r="Y49" i="4"/>
  <c r="V28" i="4"/>
  <c r="Z28" i="4"/>
  <c r="W35" i="4"/>
  <c r="X30" i="4"/>
  <c r="X43" i="4"/>
  <c r="AA30" i="4"/>
  <c r="V26" i="4"/>
  <c r="Z26" i="4"/>
  <c r="V27" i="4"/>
  <c r="W37" i="4"/>
  <c r="Z27" i="4"/>
  <c r="W34" i="4"/>
  <c r="AA31" i="4"/>
  <c r="P31" i="4"/>
  <c r="P30" i="4"/>
  <c r="F6" i="10"/>
  <c r="G6" i="10"/>
  <c r="F21" i="10"/>
  <c r="G21" i="10"/>
  <c r="H21" i="10"/>
  <c r="G24" i="1"/>
  <c r="F20" i="10"/>
  <c r="G20" i="10"/>
  <c r="H20" i="10"/>
  <c r="G23" i="1"/>
  <c r="F19" i="10"/>
  <c r="G19" i="10"/>
  <c r="H19" i="10"/>
  <c r="G22" i="1"/>
  <c r="F18" i="10"/>
  <c r="G18" i="10"/>
  <c r="H18" i="10"/>
  <c r="G21" i="1"/>
  <c r="F17" i="10"/>
  <c r="G17" i="10"/>
  <c r="H17" i="10"/>
  <c r="G20" i="1"/>
  <c r="F16" i="10"/>
  <c r="G16" i="10"/>
  <c r="H16" i="10"/>
  <c r="G19" i="1"/>
  <c r="F15" i="10"/>
  <c r="G15" i="10"/>
  <c r="H15" i="10"/>
  <c r="G18" i="1"/>
  <c r="F14" i="10"/>
  <c r="G14" i="10"/>
  <c r="H14" i="10"/>
  <c r="G17" i="1"/>
  <c r="F13" i="10"/>
  <c r="G13" i="10"/>
  <c r="F12" i="10"/>
  <c r="G12" i="10"/>
  <c r="F11" i="10"/>
  <c r="G11" i="10"/>
  <c r="Y44" i="4"/>
  <c r="H13" i="10"/>
  <c r="G16" i="1"/>
  <c r="H11" i="10"/>
  <c r="G14" i="1"/>
  <c r="H12" i="10"/>
  <c r="G15" i="1"/>
  <c r="H6" i="10"/>
  <c r="G13" i="1"/>
  <c r="Q35" i="2"/>
  <c r="Q34" i="2"/>
  <c r="Q37" i="2"/>
  <c r="Q36" i="2"/>
  <c r="B19" i="1"/>
  <c r="H23" i="10"/>
  <c r="B22" i="1"/>
  <c r="B23" i="1"/>
  <c r="B20" i="1"/>
  <c r="B21" i="1"/>
  <c r="D54" i="4"/>
  <c r="B9" i="7"/>
  <c r="B9" i="9"/>
  <c r="J8" i="9"/>
  <c r="H8" i="9"/>
  <c r="G8" i="9"/>
  <c r="J7" i="9"/>
  <c r="G7" i="9"/>
  <c r="E7" i="9"/>
  <c r="M6" i="9"/>
  <c r="G6" i="9"/>
  <c r="E6" i="9"/>
  <c r="J5" i="9"/>
  <c r="G5" i="9"/>
  <c r="B5" i="7"/>
  <c r="E40" i="4"/>
  <c r="F40" i="4"/>
  <c r="E39" i="4"/>
  <c r="E38" i="4"/>
  <c r="F38" i="4"/>
  <c r="C43" i="4"/>
  <c r="F39" i="4"/>
  <c r="B5" i="9"/>
  <c r="C45" i="4"/>
  <c r="C44" i="4"/>
  <c r="I7" i="9"/>
  <c r="I8" i="9"/>
  <c r="Z25" i="4"/>
  <c r="Z43" i="4"/>
  <c r="Z44" i="4"/>
  <c r="V25" i="4"/>
  <c r="E51" i="4"/>
  <c r="H50" i="4"/>
  <c r="E66" i="4"/>
  <c r="E65" i="4"/>
  <c r="E62" i="4"/>
  <c r="E61" i="4"/>
  <c r="W41" i="4"/>
  <c r="N44" i="2"/>
  <c r="N43" i="2"/>
  <c r="P51" i="4"/>
  <c r="B8" i="7"/>
  <c r="B8" i="9"/>
  <c r="E5" i="9"/>
  <c r="G37" i="1"/>
  <c r="K72" i="4"/>
  <c r="G39" i="1"/>
  <c r="G36" i="1"/>
  <c r="G34" i="1"/>
  <c r="J35" i="1"/>
  <c r="D20" i="4"/>
  <c r="K20" i="4"/>
  <c r="K19" i="4"/>
  <c r="D18" i="4"/>
  <c r="K18" i="4"/>
  <c r="D17" i="4"/>
  <c r="K17" i="4"/>
  <c r="K16" i="4"/>
  <c r="W16" i="4"/>
  <c r="D15" i="4"/>
  <c r="K15" i="4"/>
  <c r="W15" i="4"/>
  <c r="K14" i="4"/>
  <c r="W14" i="4"/>
  <c r="K13" i="4"/>
  <c r="W13" i="4"/>
  <c r="K12" i="4"/>
  <c r="D11" i="4"/>
  <c r="K11" i="4"/>
  <c r="W11" i="4"/>
  <c r="K10" i="4"/>
  <c r="W10" i="4"/>
  <c r="K5" i="4"/>
  <c r="S18" i="4"/>
  <c r="X18" i="4"/>
  <c r="V12" i="4"/>
  <c r="W12" i="4"/>
  <c r="S17" i="4"/>
  <c r="X17" i="4"/>
  <c r="V19" i="4"/>
  <c r="W19" i="4"/>
  <c r="G27" i="1"/>
  <c r="P34" i="7"/>
  <c r="H7" i="9"/>
  <c r="Y20" i="4"/>
  <c r="Y21" i="4"/>
  <c r="G35" i="1"/>
  <c r="G28" i="1"/>
  <c r="G38" i="1"/>
  <c r="J32" i="1"/>
  <c r="V5" i="4"/>
  <c r="G32" i="1"/>
  <c r="T19" i="4"/>
  <c r="T14" i="4"/>
  <c r="T16" i="4"/>
  <c r="T13" i="4"/>
  <c r="T12" i="4"/>
  <c r="X21" i="4"/>
  <c r="I60" i="4"/>
  <c r="J9" i="1"/>
  <c r="S21" i="4"/>
  <c r="K74" i="4"/>
  <c r="K73" i="1"/>
  <c r="O54" i="4"/>
  <c r="F67" i="1"/>
  <c r="Q21" i="4"/>
  <c r="K66" i="4"/>
  <c r="P33" i="7"/>
  <c r="W43" i="4"/>
  <c r="I63" i="4"/>
  <c r="D9" i="1"/>
  <c r="J33" i="1"/>
  <c r="AA43" i="4"/>
  <c r="AA44" i="4"/>
  <c r="G33" i="1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6" i="4"/>
  <c r="C25" i="4"/>
  <c r="C20" i="4"/>
  <c r="H20" i="4"/>
  <c r="C19" i="4"/>
  <c r="H19" i="4"/>
  <c r="C18" i="4"/>
  <c r="H18" i="4"/>
  <c r="C17" i="4"/>
  <c r="H17" i="4"/>
  <c r="C15" i="4"/>
  <c r="H15" i="4"/>
  <c r="C14" i="4"/>
  <c r="H14" i="4"/>
  <c r="C13" i="4"/>
  <c r="H13" i="4"/>
  <c r="C12" i="4"/>
  <c r="H12" i="4"/>
  <c r="C11" i="4"/>
  <c r="H11" i="4"/>
  <c r="C10" i="4"/>
  <c r="H10" i="4"/>
  <c r="C5" i="4"/>
  <c r="H5" i="4"/>
  <c r="Y48" i="4"/>
  <c r="X44" i="4"/>
  <c r="Y45" i="4"/>
  <c r="I61" i="4"/>
  <c r="F9" i="1"/>
  <c r="L7" i="7"/>
  <c r="S54" i="4"/>
  <c r="L66" i="4"/>
  <c r="L73" i="1"/>
  <c r="E9" i="7"/>
  <c r="D77" i="1"/>
  <c r="F66" i="1"/>
  <c r="G29" i="1"/>
  <c r="G30" i="1"/>
  <c r="G31" i="1"/>
  <c r="T21" i="4"/>
  <c r="L59" i="4"/>
  <c r="B12" i="7"/>
  <c r="W21" i="4"/>
  <c r="I59" i="4"/>
  <c r="V21" i="4"/>
  <c r="I58" i="4"/>
  <c r="V43" i="4"/>
  <c r="P43" i="4"/>
  <c r="J29" i="1"/>
  <c r="I62" i="4"/>
  <c r="Y50" i="4"/>
  <c r="Y46" i="4"/>
  <c r="I64" i="4"/>
  <c r="E9" i="1"/>
  <c r="B11" i="9"/>
  <c r="B12" i="9"/>
  <c r="F69" i="1"/>
  <c r="D9" i="9"/>
  <c r="C77" i="1"/>
  <c r="E8" i="7"/>
  <c r="E9" i="9"/>
  <c r="J6" i="9"/>
  <c r="H9" i="1"/>
  <c r="I9" i="1"/>
  <c r="E12" i="7"/>
  <c r="D76" i="1"/>
  <c r="C9" i="1"/>
  <c r="C78" i="1"/>
  <c r="P30" i="7"/>
  <c r="P44" i="4"/>
  <c r="K64" i="4"/>
  <c r="F68" i="1"/>
  <c r="E8" i="9"/>
  <c r="E12" i="9"/>
  <c r="D10" i="9"/>
  <c r="L5" i="9"/>
  <c r="I5" i="9"/>
  <c r="E10" i="7"/>
  <c r="D78" i="1"/>
  <c r="F65" i="1"/>
  <c r="P31" i="7"/>
  <c r="L17" i="7"/>
  <c r="I6" i="9"/>
  <c r="D12" i="9"/>
  <c r="E11" i="9"/>
  <c r="E10" i="9"/>
  <c r="H5" i="9"/>
  <c r="N40" i="2"/>
  <c r="N46" i="2"/>
  <c r="N45" i="2"/>
  <c r="K6" i="9"/>
  <c r="H6" i="9"/>
  <c r="M8" i="9"/>
  <c r="B56" i="1"/>
  <c r="K5" i="9"/>
  <c r="B58" i="1"/>
  <c r="B59" i="1"/>
  <c r="B57" i="1"/>
  <c r="B60" i="1"/>
  <c r="L7" i="9"/>
  <c r="L8" i="7"/>
  <c r="L8" i="9"/>
  <c r="M5" i="9"/>
</calcChain>
</file>

<file path=xl/sharedStrings.xml><?xml version="1.0" encoding="utf-8"?>
<sst xmlns="http://schemas.openxmlformats.org/spreadsheetml/2006/main" count="1154" uniqueCount="728">
  <si>
    <t>　　</t>
  </si>
  <si>
    <t>FL</t>
  </si>
  <si>
    <t>e</t>
  </si>
  <si>
    <t>d</t>
  </si>
  <si>
    <t>c</t>
  </si>
  <si>
    <t>b</t>
  </si>
  <si>
    <t>a</t>
  </si>
  <si>
    <t>ⅴ</t>
  </si>
  <si>
    <t>ⅳ</t>
  </si>
  <si>
    <t>ⅲ</t>
  </si>
  <si>
    <t>ⅱ</t>
  </si>
  <si>
    <t>ⅰ</t>
  </si>
  <si>
    <t>EL</t>
  </si>
  <si>
    <t>HL</t>
  </si>
  <si>
    <t>Ⅴ</t>
  </si>
  <si>
    <t>Ⅳ</t>
  </si>
  <si>
    <t>Ⅲ</t>
  </si>
  <si>
    <t>Ⅱ</t>
  </si>
  <si>
    <t>Ⅰ</t>
  </si>
  <si>
    <t>RL　の評価</t>
    <rPh sb="4" eb="6">
      <t>ヒョウカ</t>
    </rPh>
    <phoneticPr fontId="6"/>
  </si>
  <si>
    <t>EL　の評価</t>
    <rPh sb="4" eb="6">
      <t>ヒョウカ</t>
    </rPh>
    <phoneticPr fontId="6"/>
  </si>
  <si>
    <t>区分</t>
    <rPh sb="0" eb="2">
      <t>クブン</t>
    </rPh>
    <phoneticPr fontId="6"/>
  </si>
  <si>
    <t>区分1</t>
    <rPh sb="0" eb="2">
      <t>クブン</t>
    </rPh>
    <phoneticPr fontId="6"/>
  </si>
  <si>
    <t>区分2</t>
    <rPh sb="0" eb="2">
      <t>クブン</t>
    </rPh>
    <phoneticPr fontId="6"/>
  </si>
  <si>
    <t>区分3</t>
    <rPh sb="0" eb="2">
      <t>クブン</t>
    </rPh>
    <phoneticPr fontId="6"/>
  </si>
  <si>
    <t>区分4</t>
    <rPh sb="0" eb="2">
      <t>クブン</t>
    </rPh>
    <phoneticPr fontId="6"/>
  </si>
  <si>
    <t>区分5</t>
    <rPh sb="0" eb="2">
      <t>クブン</t>
    </rPh>
    <phoneticPr fontId="6"/>
  </si>
  <si>
    <t>（すべての経路）</t>
    <rPh sb="5" eb="7">
      <t>ケイロ</t>
    </rPh>
    <phoneticPr fontId="6"/>
  </si>
  <si>
    <t>エアロゾル&amp;粉体</t>
    <rPh sb="6" eb="8">
      <t>フンタイ</t>
    </rPh>
    <phoneticPr fontId="6"/>
  </si>
  <si>
    <t>ガス&amp;蒸気</t>
    <rPh sb="3" eb="5">
      <t>ジョウキ</t>
    </rPh>
    <phoneticPr fontId="6"/>
  </si>
  <si>
    <t>眼及び皮膚に対する有害性</t>
    <rPh sb="0" eb="1">
      <t>メ</t>
    </rPh>
    <rPh sb="1" eb="2">
      <t>オヨ</t>
    </rPh>
    <rPh sb="3" eb="5">
      <t>ヒフ</t>
    </rPh>
    <rPh sb="6" eb="7">
      <t>タイ</t>
    </rPh>
    <rPh sb="9" eb="12">
      <t>ユウガイセイ</t>
    </rPh>
    <phoneticPr fontId="6"/>
  </si>
  <si>
    <t>全ての区分</t>
  </si>
  <si>
    <t>皮膚腐食性/刺激性：</t>
  </si>
  <si>
    <t>　皮膚感作性：</t>
  </si>
  <si>
    <t>急性毒性（皮膚）：</t>
  </si>
  <si>
    <t>Hazard Level</t>
    <phoneticPr fontId="6"/>
  </si>
  <si>
    <t>HL =</t>
    <phoneticPr fontId="6"/>
  </si>
  <si>
    <t>区分入力</t>
    <rPh sb="0" eb="2">
      <t>クブン</t>
    </rPh>
    <rPh sb="2" eb="4">
      <t>ニュウリョク</t>
    </rPh>
    <phoneticPr fontId="6"/>
  </si>
  <si>
    <t>各毒性の</t>
    <rPh sb="0" eb="1">
      <t>カク</t>
    </rPh>
    <rPh sb="1" eb="3">
      <t>ドクセイ</t>
    </rPh>
    <phoneticPr fontId="6"/>
  </si>
  <si>
    <t>HL</t>
    <phoneticPr fontId="6"/>
  </si>
  <si>
    <t>眼に対する重篤な損傷/眼の刺激性：</t>
    <phoneticPr fontId="6"/>
  </si>
  <si>
    <t>S</t>
    <phoneticPr fontId="6"/>
  </si>
  <si>
    <t>全ての区分</t>
    <phoneticPr fontId="6"/>
  </si>
  <si>
    <t>未分類</t>
    <rPh sb="0" eb="3">
      <t>ミブンルイ</t>
    </rPh>
    <phoneticPr fontId="6"/>
  </si>
  <si>
    <t>HL</t>
    <phoneticPr fontId="6"/>
  </si>
  <si>
    <t>-</t>
    <phoneticPr fontId="6"/>
  </si>
  <si>
    <t>自己反応性</t>
    <phoneticPr fontId="6"/>
  </si>
  <si>
    <t>自然発火性液体</t>
    <phoneticPr fontId="6"/>
  </si>
  <si>
    <t>自然発火性固体</t>
    <phoneticPr fontId="6"/>
  </si>
  <si>
    <t>水反応可燃性化学品</t>
    <phoneticPr fontId="6"/>
  </si>
  <si>
    <t>有機過酸化物</t>
    <phoneticPr fontId="6"/>
  </si>
  <si>
    <t>A</t>
    <phoneticPr fontId="6"/>
  </si>
  <si>
    <t>C</t>
    <phoneticPr fontId="6"/>
  </si>
  <si>
    <t>不安定爆発物</t>
    <rPh sb="0" eb="3">
      <t>フアンテイ</t>
    </rPh>
    <rPh sb="3" eb="6">
      <t>バクハツブツ</t>
    </rPh>
    <phoneticPr fontId="6"/>
  </si>
  <si>
    <t>B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</si>
  <si>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</si>
  <si>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</si>
  <si>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</si>
  <si>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</si>
  <si>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指定物２</t>
    <rPh sb="0" eb="2">
      <t>シテイ</t>
    </rPh>
    <rPh sb="2" eb="3">
      <t>ブツ</t>
    </rPh>
    <phoneticPr fontId="6"/>
  </si>
  <si>
    <t>指定物１</t>
    <rPh sb="0" eb="2">
      <t>シテイ</t>
    </rPh>
    <rPh sb="2" eb="3">
      <t>ブツ</t>
    </rPh>
    <phoneticPr fontId="6"/>
  </si>
  <si>
    <t>１，２</t>
    <phoneticPr fontId="6"/>
  </si>
  <si>
    <t>1A</t>
    <phoneticPr fontId="6"/>
  </si>
  <si>
    <t>２A2B</t>
    <phoneticPr fontId="6"/>
  </si>
  <si>
    <t>１A1B</t>
    <phoneticPr fontId="6"/>
  </si>
  <si>
    <t>1B</t>
    <phoneticPr fontId="6"/>
  </si>
  <si>
    <t>2A</t>
    <phoneticPr fontId="6"/>
  </si>
  <si>
    <t>2B</t>
    <phoneticPr fontId="6"/>
  </si>
  <si>
    <t>区分変換</t>
    <rPh sb="0" eb="2">
      <t>クブン</t>
    </rPh>
    <rPh sb="2" eb="4">
      <t>ヘンカン</t>
    </rPh>
    <phoneticPr fontId="6"/>
  </si>
  <si>
    <t>1</t>
    <phoneticPr fontId="6"/>
  </si>
  <si>
    <t>2</t>
    <phoneticPr fontId="6"/>
  </si>
  <si>
    <t>3</t>
    <phoneticPr fontId="6"/>
  </si>
  <si>
    <t>4</t>
    <phoneticPr fontId="6"/>
  </si>
  <si>
    <t>5</t>
    <phoneticPr fontId="6"/>
  </si>
  <si>
    <t>文字</t>
    <rPh sb="0" eb="2">
      <t>モジ</t>
    </rPh>
    <phoneticPr fontId="6"/>
  </si>
  <si>
    <t>数字</t>
    <rPh sb="0" eb="2">
      <t>スウジ</t>
    </rPh>
    <phoneticPr fontId="6"/>
  </si>
  <si>
    <t>眼</t>
    <rPh sb="0" eb="1">
      <t>メ</t>
    </rPh>
    <phoneticPr fontId="6"/>
  </si>
  <si>
    <t>皮膚</t>
    <rPh sb="0" eb="2">
      <t>ヒフ</t>
    </rPh>
    <phoneticPr fontId="6"/>
  </si>
  <si>
    <t>指針</t>
    <rPh sb="0" eb="2">
      <t>シシン</t>
    </rPh>
    <phoneticPr fontId="6"/>
  </si>
  <si>
    <t>S</t>
    <phoneticPr fontId="6"/>
  </si>
  <si>
    <t>（反応剤）</t>
    <rPh sb="1" eb="3">
      <t>ハンノウ</t>
    </rPh>
    <rPh sb="3" eb="4">
      <t>ザイ</t>
    </rPh>
    <phoneticPr fontId="6"/>
  </si>
  <si>
    <t>S規定</t>
    <rPh sb="1" eb="3">
      <t>キテイ</t>
    </rPh>
    <phoneticPr fontId="6"/>
  </si>
  <si>
    <t>ハザードレベル　HL</t>
    <phoneticPr fontId="6"/>
  </si>
  <si>
    <t>S指定</t>
    <rPh sb="1" eb="3">
      <t>シテイ</t>
    </rPh>
    <phoneticPr fontId="6"/>
  </si>
  <si>
    <t>眼・皮膚</t>
    <rPh sb="0" eb="1">
      <t>メ</t>
    </rPh>
    <rPh sb="2" eb="4">
      <t>ヒフ</t>
    </rPh>
    <phoneticPr fontId="6"/>
  </si>
  <si>
    <t>四</t>
    <rPh sb="0" eb="1">
      <t>ヨン</t>
    </rPh>
    <phoneticPr fontId="6"/>
  </si>
  <si>
    <t>Ⅳ</t>
    <phoneticPr fontId="6"/>
  </si>
  <si>
    <t>数字変換</t>
    <rPh sb="0" eb="2">
      <t>スウジ</t>
    </rPh>
    <rPh sb="2" eb="4">
      <t>ヘンカン</t>
    </rPh>
    <phoneticPr fontId="6"/>
  </si>
  <si>
    <t>6</t>
    <phoneticPr fontId="6"/>
  </si>
  <si>
    <t>7</t>
    <phoneticPr fontId="6"/>
  </si>
  <si>
    <t>8</t>
    <phoneticPr fontId="6"/>
  </si>
  <si>
    <t>9</t>
    <phoneticPr fontId="6"/>
  </si>
  <si>
    <t>一</t>
    <rPh sb="0" eb="1">
      <t>イチ</t>
    </rPh>
    <phoneticPr fontId="6"/>
  </si>
  <si>
    <t>二</t>
    <rPh sb="0" eb="1">
      <t>ニ</t>
    </rPh>
    <phoneticPr fontId="6"/>
  </si>
  <si>
    <t>三</t>
    <rPh sb="0" eb="1">
      <t>サン</t>
    </rPh>
    <phoneticPr fontId="6"/>
  </si>
  <si>
    <t>五</t>
    <rPh sb="0" eb="1">
      <t>ゴ</t>
    </rPh>
    <phoneticPr fontId="6"/>
  </si>
  <si>
    <t>六</t>
    <rPh sb="0" eb="1">
      <t>ロク</t>
    </rPh>
    <phoneticPr fontId="6"/>
  </si>
  <si>
    <t>七</t>
    <rPh sb="0" eb="1">
      <t>シチ</t>
    </rPh>
    <phoneticPr fontId="6"/>
  </si>
  <si>
    <t>八</t>
    <rPh sb="0" eb="1">
      <t>ハチ</t>
    </rPh>
    <phoneticPr fontId="6"/>
  </si>
  <si>
    <t>九</t>
    <rPh sb="0" eb="1">
      <t>ク</t>
    </rPh>
    <phoneticPr fontId="6"/>
  </si>
  <si>
    <t>零</t>
    <rPh sb="0" eb="1">
      <t>ゼロ</t>
    </rPh>
    <phoneticPr fontId="6"/>
  </si>
  <si>
    <t>0</t>
    <phoneticPr fontId="6"/>
  </si>
  <si>
    <t>Ⅰ</t>
    <phoneticPr fontId="6"/>
  </si>
  <si>
    <t>Ⅱ</t>
    <phoneticPr fontId="6"/>
  </si>
  <si>
    <t>Ⅲ</t>
    <phoneticPr fontId="6"/>
  </si>
  <si>
    <t>Ⅴ</t>
    <phoneticPr fontId="6"/>
  </si>
  <si>
    <t>Ⅵ</t>
    <phoneticPr fontId="6"/>
  </si>
  <si>
    <t>Ⅶ</t>
    <phoneticPr fontId="6"/>
  </si>
  <si>
    <t>Ⅷ</t>
    <phoneticPr fontId="6"/>
  </si>
  <si>
    <t>Ⅸ</t>
    <phoneticPr fontId="6"/>
  </si>
  <si>
    <t>第１種</t>
  </si>
  <si>
    <t>PRTR法</t>
    <rPh sb="4" eb="5">
      <t>ホウ</t>
    </rPh>
    <phoneticPr fontId="6"/>
  </si>
  <si>
    <t>－</t>
    <phoneticPr fontId="6"/>
  </si>
  <si>
    <t>消防活動阻害物質</t>
    <phoneticPr fontId="6"/>
  </si>
  <si>
    <t>特定第１種</t>
    <phoneticPr fontId="6"/>
  </si>
  <si>
    <t>第２種</t>
    <rPh sb="0" eb="1">
      <t>ダイ</t>
    </rPh>
    <rPh sb="2" eb="3">
      <t>シュ</t>
    </rPh>
    <phoneticPr fontId="6"/>
  </si>
  <si>
    <t>＊</t>
    <phoneticPr fontId="6"/>
  </si>
  <si>
    <t>特定化学物質　第一類</t>
    <rPh sb="0" eb="2">
      <t>トクテイ</t>
    </rPh>
    <rPh sb="2" eb="4">
      <t>カガク</t>
    </rPh>
    <rPh sb="4" eb="6">
      <t>ブッシツ</t>
    </rPh>
    <rPh sb="7" eb="8">
      <t>ダイ</t>
    </rPh>
    <rPh sb="8" eb="10">
      <t>イチルイ</t>
    </rPh>
    <phoneticPr fontId="6"/>
  </si>
  <si>
    <t>特定化学物質　第二類</t>
    <rPh sb="0" eb="2">
      <t>トクテイ</t>
    </rPh>
    <rPh sb="2" eb="4">
      <t>カガク</t>
    </rPh>
    <rPh sb="4" eb="6">
      <t>ブッシツ</t>
    </rPh>
    <rPh sb="7" eb="8">
      <t>ダイ</t>
    </rPh>
    <rPh sb="8" eb="9">
      <t>ニ</t>
    </rPh>
    <rPh sb="9" eb="10">
      <t>ルイ</t>
    </rPh>
    <phoneticPr fontId="6"/>
  </si>
  <si>
    <t>特定化学物質　第三類</t>
    <rPh sb="0" eb="2">
      <t>トクテイ</t>
    </rPh>
    <rPh sb="2" eb="4">
      <t>カガク</t>
    </rPh>
    <rPh sb="4" eb="6">
      <t>ブッシツ</t>
    </rPh>
    <rPh sb="7" eb="8">
      <t>ダイ</t>
    </rPh>
    <rPh sb="8" eb="9">
      <t>サン</t>
    </rPh>
    <rPh sb="9" eb="10">
      <t>ルイ</t>
    </rPh>
    <phoneticPr fontId="6"/>
  </si>
  <si>
    <t>有機溶剤　第一種</t>
    <rPh sb="0" eb="2">
      <t>ユウキ</t>
    </rPh>
    <rPh sb="2" eb="4">
      <t>ヨウザイ</t>
    </rPh>
    <rPh sb="5" eb="8">
      <t>ダイイッシュ</t>
    </rPh>
    <phoneticPr fontId="6"/>
  </si>
  <si>
    <t>有機溶剤　第二種</t>
    <rPh sb="0" eb="2">
      <t>ユウキ</t>
    </rPh>
    <rPh sb="2" eb="4">
      <t>ヨウザイ</t>
    </rPh>
    <rPh sb="5" eb="7">
      <t>ダイニ</t>
    </rPh>
    <rPh sb="7" eb="8">
      <t>シュ</t>
    </rPh>
    <phoneticPr fontId="6"/>
  </si>
  <si>
    <t>有機溶剤　第三種</t>
    <rPh sb="0" eb="2">
      <t>ユウキ</t>
    </rPh>
    <rPh sb="2" eb="4">
      <t>ヨウザイ</t>
    </rPh>
    <rPh sb="5" eb="6">
      <t>ダイ</t>
    </rPh>
    <rPh sb="6" eb="8">
      <t>サンシュ</t>
    </rPh>
    <phoneticPr fontId="6"/>
  </si>
  <si>
    <t>該当なし</t>
    <rPh sb="0" eb="2">
      <t>ガイトウ</t>
    </rPh>
    <phoneticPr fontId="6"/>
  </si>
  <si>
    <t>特化物　非該当</t>
    <rPh sb="0" eb="2">
      <t>トッカ</t>
    </rPh>
    <rPh sb="2" eb="3">
      <t>ブツ</t>
    </rPh>
    <rPh sb="4" eb="7">
      <t>ヒガイトウ</t>
    </rPh>
    <phoneticPr fontId="6"/>
  </si>
  <si>
    <t>不明</t>
    <rPh sb="0" eb="2">
      <t>フメイ</t>
    </rPh>
    <phoneticPr fontId="6"/>
  </si>
  <si>
    <t>消防法危険物</t>
    <rPh sb="0" eb="2">
      <t>ショウボウ</t>
    </rPh>
    <rPh sb="2" eb="3">
      <t>ホウ</t>
    </rPh>
    <rPh sb="3" eb="6">
      <t>キケンブツ</t>
    </rPh>
    <phoneticPr fontId="6"/>
  </si>
  <si>
    <t>－</t>
  </si>
  <si>
    <t>－</t>
    <phoneticPr fontId="6"/>
  </si>
  <si>
    <t>要入力</t>
    <rPh sb="0" eb="1">
      <t>ヨウ</t>
    </rPh>
    <rPh sb="1" eb="3">
      <t>ニュウリョク</t>
    </rPh>
    <phoneticPr fontId="6"/>
  </si>
  <si>
    <t>細目</t>
    <rPh sb="0" eb="2">
      <t>サイモク</t>
    </rPh>
    <phoneticPr fontId="6"/>
  </si>
  <si>
    <t>毒劇物</t>
    <rPh sb="0" eb="1">
      <t>ドク</t>
    </rPh>
    <rPh sb="1" eb="3">
      <t>ゲキブツ</t>
    </rPh>
    <phoneticPr fontId="6"/>
  </si>
  <si>
    <t>有機溶剤</t>
    <rPh sb="0" eb="2">
      <t>ユウキ</t>
    </rPh>
    <rPh sb="2" eb="4">
      <t>ヨウザイ</t>
    </rPh>
    <phoneticPr fontId="6"/>
  </si>
  <si>
    <t>特定化学物質</t>
    <rPh sb="0" eb="2">
      <t>トクテイ</t>
    </rPh>
    <rPh sb="2" eb="4">
      <t>カガク</t>
    </rPh>
    <rPh sb="4" eb="6">
      <t>ブッシツ</t>
    </rPh>
    <phoneticPr fontId="6"/>
  </si>
  <si>
    <t>皮膚の保護</t>
    <rPh sb="0" eb="2">
      <t>ヒフ</t>
    </rPh>
    <rPh sb="3" eb="5">
      <t>ホゴ</t>
    </rPh>
    <phoneticPr fontId="6"/>
  </si>
  <si>
    <t>眼の保護</t>
    <rPh sb="0" eb="1">
      <t>メ</t>
    </rPh>
    <rPh sb="2" eb="4">
      <t>ホゴ</t>
    </rPh>
    <phoneticPr fontId="6"/>
  </si>
  <si>
    <t>HL=</t>
    <phoneticPr fontId="6"/>
  </si>
  <si>
    <t>A=</t>
    <phoneticPr fontId="6"/>
  </si>
  <si>
    <t>B=</t>
    <phoneticPr fontId="6"/>
  </si>
  <si>
    <t>C=</t>
    <phoneticPr fontId="6"/>
  </si>
  <si>
    <t>EWL=</t>
    <phoneticPr fontId="6"/>
  </si>
  <si>
    <t>ABC=</t>
    <phoneticPr fontId="6"/>
  </si>
  <si>
    <t>FL=</t>
    <phoneticPr fontId="6"/>
  </si>
  <si>
    <t>EL4=</t>
    <phoneticPr fontId="6"/>
  </si>
  <si>
    <t>RL=</t>
    <phoneticPr fontId="6"/>
  </si>
  <si>
    <t>指定物１</t>
    <rPh sb="0" eb="2">
      <t>シテイ</t>
    </rPh>
    <rPh sb="2" eb="3">
      <t>ブツ</t>
    </rPh>
    <phoneticPr fontId="6"/>
  </si>
  <si>
    <t>指定物２</t>
    <rPh sb="0" eb="2">
      <t>シテイ</t>
    </rPh>
    <rPh sb="2" eb="3">
      <t>ブツ</t>
    </rPh>
    <phoneticPr fontId="6"/>
  </si>
  <si>
    <t>総合判断</t>
    <rPh sb="0" eb="2">
      <t>ソウゴウ</t>
    </rPh>
    <rPh sb="2" eb="4">
      <t>ハンダン</t>
    </rPh>
    <phoneticPr fontId="6"/>
  </si>
  <si>
    <t xml:space="preserve">S </t>
    <phoneticPr fontId="6"/>
  </si>
  <si>
    <t>ⅰ</t>
    <phoneticPr fontId="6"/>
  </si>
  <si>
    <t>ⅱ</t>
    <phoneticPr fontId="6"/>
  </si>
  <si>
    <t>ⅲ</t>
    <phoneticPr fontId="6"/>
  </si>
  <si>
    <t>ⅳ</t>
    <phoneticPr fontId="6"/>
  </si>
  <si>
    <t>ⅴ</t>
    <phoneticPr fontId="6"/>
  </si>
  <si>
    <t>ⅵ</t>
    <phoneticPr fontId="6"/>
  </si>
  <si>
    <t>ⅶ</t>
    <phoneticPr fontId="6"/>
  </si>
  <si>
    <t>ⅷ</t>
    <phoneticPr fontId="6"/>
  </si>
  <si>
    <t>ⅸ</t>
    <phoneticPr fontId="6"/>
  </si>
  <si>
    <t>ⅹ</t>
    <phoneticPr fontId="6"/>
  </si>
  <si>
    <t>Ⅹ</t>
    <phoneticPr fontId="6"/>
  </si>
  <si>
    <t>I</t>
    <phoneticPr fontId="6"/>
  </si>
  <si>
    <t>II</t>
    <phoneticPr fontId="6"/>
  </si>
  <si>
    <t>III</t>
    <phoneticPr fontId="6"/>
  </si>
  <si>
    <t>IV</t>
    <phoneticPr fontId="6"/>
  </si>
  <si>
    <t>V</t>
    <phoneticPr fontId="6"/>
  </si>
  <si>
    <t>VI</t>
    <phoneticPr fontId="6"/>
  </si>
  <si>
    <t>VII</t>
    <phoneticPr fontId="6"/>
  </si>
  <si>
    <t>VIII</t>
    <phoneticPr fontId="6"/>
  </si>
  <si>
    <t>IX</t>
    <phoneticPr fontId="6"/>
  </si>
  <si>
    <t>X</t>
    <phoneticPr fontId="6"/>
  </si>
  <si>
    <t>i</t>
    <phoneticPr fontId="6"/>
  </si>
  <si>
    <t>ii</t>
    <phoneticPr fontId="6"/>
  </si>
  <si>
    <t>iii</t>
    <phoneticPr fontId="6"/>
  </si>
  <si>
    <t>iv</t>
    <phoneticPr fontId="6"/>
  </si>
  <si>
    <t>v</t>
    <phoneticPr fontId="6"/>
  </si>
  <si>
    <t>vi</t>
    <phoneticPr fontId="6"/>
  </si>
  <si>
    <t>vii</t>
    <phoneticPr fontId="6"/>
  </si>
  <si>
    <t>viii</t>
    <phoneticPr fontId="6"/>
  </si>
  <si>
    <t>ix</t>
    <phoneticPr fontId="6"/>
  </si>
  <si>
    <t>x</t>
    <phoneticPr fontId="6"/>
  </si>
  <si>
    <t>入力</t>
    <rPh sb="0" eb="2">
      <t>ニュウリョク</t>
    </rPh>
    <phoneticPr fontId="6"/>
  </si>
  <si>
    <t>文字変換</t>
    <rPh sb="0" eb="2">
      <t>モジ</t>
    </rPh>
    <rPh sb="2" eb="4">
      <t>ヘンカン</t>
    </rPh>
    <phoneticPr fontId="6"/>
  </si>
  <si>
    <t>EWL</t>
    <phoneticPr fontId="6"/>
  </si>
  <si>
    <t>e</t>
    <phoneticPr fontId="6"/>
  </si>
  <si>
    <t>d</t>
    <phoneticPr fontId="6"/>
  </si>
  <si>
    <t>c</t>
    <phoneticPr fontId="6"/>
  </si>
  <si>
    <t>b</t>
    <phoneticPr fontId="6"/>
  </si>
  <si>
    <t>a</t>
    <phoneticPr fontId="6"/>
  </si>
  <si>
    <t>A+B+C</t>
    <phoneticPr fontId="6"/>
  </si>
  <si>
    <t>vlookup用</t>
    <rPh sb="7" eb="8">
      <t>ヨウ</t>
    </rPh>
    <phoneticPr fontId="6"/>
  </si>
  <si>
    <t>(EL4)</t>
    <phoneticPr fontId="6"/>
  </si>
  <si>
    <t>値変換</t>
    <rPh sb="0" eb="1">
      <t>アタイ</t>
    </rPh>
    <rPh sb="1" eb="3">
      <t>ヘンカン</t>
    </rPh>
    <phoneticPr fontId="6"/>
  </si>
  <si>
    <t>No.</t>
    <phoneticPr fontId="6"/>
  </si>
  <si>
    <t>○可燃性/引火性ガス</t>
  </si>
  <si>
    <t>○エアゾール</t>
  </si>
  <si>
    <t>○支燃性/酸化性ガス</t>
  </si>
  <si>
    <t>○高圧ガス</t>
  </si>
  <si>
    <t>リスクアセス指針・基準による規定</t>
    <rPh sb="6" eb="8">
      <t>シシン</t>
    </rPh>
    <rPh sb="9" eb="11">
      <t>キジュン</t>
    </rPh>
    <rPh sb="14" eb="16">
      <t>キテイ</t>
    </rPh>
    <phoneticPr fontId="6"/>
  </si>
  <si>
    <t>中労協によるリスクアセス</t>
    <rPh sb="0" eb="1">
      <t>チュウ</t>
    </rPh>
    <rPh sb="1" eb="3">
      <t>ロウキョウ</t>
    </rPh>
    <phoneticPr fontId="6"/>
  </si>
  <si>
    <t>GHS区分リスト</t>
    <rPh sb="3" eb="5">
      <t>クブン</t>
    </rPh>
    <phoneticPr fontId="6"/>
  </si>
  <si>
    <t>-</t>
  </si>
  <si>
    <t>指定物１</t>
    <rPh sb="0" eb="2">
      <t>シテイ</t>
    </rPh>
    <rPh sb="2" eb="3">
      <t>ブツ</t>
    </rPh>
    <phoneticPr fontId="6"/>
  </si>
  <si>
    <t>指定物２</t>
    <rPh sb="0" eb="2">
      <t>シテイ</t>
    </rPh>
    <rPh sb="2" eb="3">
      <t>ブツ</t>
    </rPh>
    <phoneticPr fontId="6"/>
  </si>
  <si>
    <t>高度引火性</t>
    <rPh sb="0" eb="2">
      <t>コウド</t>
    </rPh>
    <rPh sb="2" eb="5">
      <t>インカセイ</t>
    </rPh>
    <phoneticPr fontId="6"/>
  </si>
  <si>
    <t>区分入力</t>
    <rPh sb="0" eb="2">
      <t>クブン</t>
    </rPh>
    <rPh sb="2" eb="4">
      <t>ニュウリョク</t>
    </rPh>
    <phoneticPr fontId="6"/>
  </si>
  <si>
    <t>爆発物</t>
    <rPh sb="0" eb="3">
      <t>バクハツブツ</t>
    </rPh>
    <phoneticPr fontId="6"/>
  </si>
  <si>
    <t>ドラフト法令義務</t>
    <rPh sb="4" eb="6">
      <t>ホウレイ</t>
    </rPh>
    <rPh sb="6" eb="8">
      <t>ギム</t>
    </rPh>
    <phoneticPr fontId="6"/>
  </si>
  <si>
    <t>使用量</t>
    <rPh sb="0" eb="3">
      <t>シヨウリョウ</t>
    </rPh>
    <phoneticPr fontId="6"/>
  </si>
  <si>
    <t>眼刺激性</t>
    <rPh sb="0" eb="1">
      <t>メ</t>
    </rPh>
    <rPh sb="1" eb="4">
      <t>シゲキセイ</t>
    </rPh>
    <phoneticPr fontId="6"/>
  </si>
  <si>
    <t>皮膚腐食性</t>
    <rPh sb="0" eb="2">
      <t>ヒフ</t>
    </rPh>
    <rPh sb="2" eb="5">
      <t>フショクセイ</t>
    </rPh>
    <phoneticPr fontId="6"/>
  </si>
  <si>
    <t>手袋等</t>
    <rPh sb="0" eb="2">
      <t>テブクロ</t>
    </rPh>
    <rPh sb="2" eb="3">
      <t>ナド</t>
    </rPh>
    <phoneticPr fontId="6"/>
  </si>
  <si>
    <t>事前講習</t>
    <rPh sb="0" eb="2">
      <t>ジゼン</t>
    </rPh>
    <rPh sb="2" eb="4">
      <t>コウシュウ</t>
    </rPh>
    <phoneticPr fontId="6"/>
  </si>
  <si>
    <t>ハザードレベル HL</t>
    <phoneticPr fontId="6"/>
  </si>
  <si>
    <t xml:space="preserve">リスクレベル RL </t>
    <phoneticPr fontId="6"/>
  </si>
  <si>
    <t>試薬の有害性</t>
    <rPh sb="0" eb="2">
      <t>シヤク</t>
    </rPh>
    <rPh sb="3" eb="6">
      <t>ユウガイセイ</t>
    </rPh>
    <phoneticPr fontId="6"/>
  </si>
  <si>
    <t>使用状況に応じた有害性</t>
    <rPh sb="0" eb="2">
      <t>シヨウ</t>
    </rPh>
    <rPh sb="2" eb="4">
      <t>ジョウキョウ</t>
    </rPh>
    <rPh sb="5" eb="6">
      <t>オウ</t>
    </rPh>
    <rPh sb="8" eb="11">
      <t>ユウガイセイ</t>
    </rPh>
    <phoneticPr fontId="6"/>
  </si>
  <si>
    <t>5が最も有害</t>
    <rPh sb="2" eb="3">
      <t>モット</t>
    </rPh>
    <rPh sb="4" eb="6">
      <t>ユウガイ</t>
    </rPh>
    <phoneticPr fontId="6"/>
  </si>
  <si>
    <t>ＧＨＳ区分</t>
    <rPh sb="3" eb="5">
      <t>クブン</t>
    </rPh>
    <phoneticPr fontId="6"/>
  </si>
  <si>
    <t>区分１やＡが最も有害</t>
    <rPh sb="0" eb="2">
      <t>クブン</t>
    </rPh>
    <rPh sb="6" eb="7">
      <t>モット</t>
    </rPh>
    <rPh sb="8" eb="10">
      <t>ユウガイ</t>
    </rPh>
    <phoneticPr fontId="6"/>
  </si>
  <si>
    <t>特定化学物質（第1類・第2類）有機溶剤（第1種・第2種）は、ドラフト使用必須</t>
    <rPh sb="0" eb="2">
      <t>トクテイ</t>
    </rPh>
    <rPh sb="2" eb="4">
      <t>カガク</t>
    </rPh>
    <rPh sb="4" eb="6">
      <t>ブッシツ</t>
    </rPh>
    <rPh sb="7" eb="8">
      <t>ダイ</t>
    </rPh>
    <rPh sb="9" eb="10">
      <t>ルイ</t>
    </rPh>
    <rPh sb="11" eb="12">
      <t>ダイ</t>
    </rPh>
    <rPh sb="13" eb="14">
      <t>ルイ</t>
    </rPh>
    <rPh sb="15" eb="17">
      <t>ユウキ</t>
    </rPh>
    <rPh sb="17" eb="19">
      <t>ヨウザイ</t>
    </rPh>
    <rPh sb="20" eb="21">
      <t>ダイ</t>
    </rPh>
    <rPh sb="22" eb="23">
      <t>シュ</t>
    </rPh>
    <rPh sb="24" eb="25">
      <t>ダイ</t>
    </rPh>
    <rPh sb="26" eb="27">
      <t>シュ</t>
    </rPh>
    <rPh sb="34" eb="36">
      <t>シヨウ</t>
    </rPh>
    <rPh sb="36" eb="38">
      <t>ヒッス</t>
    </rPh>
    <phoneticPr fontId="6"/>
  </si>
  <si>
    <t>眼鏡等</t>
    <rPh sb="0" eb="2">
      <t>メガネ</t>
    </rPh>
    <rPh sb="2" eb="3">
      <t>ナド</t>
    </rPh>
    <phoneticPr fontId="6"/>
  </si>
  <si>
    <t>ＧＨＳピクトグラム</t>
    <phoneticPr fontId="6"/>
  </si>
  <si>
    <t>爆弾</t>
    <rPh sb="0" eb="2">
      <t>バクダン</t>
    </rPh>
    <phoneticPr fontId="6"/>
  </si>
  <si>
    <t>炎</t>
    <rPh sb="0" eb="1">
      <t>ホノオ</t>
    </rPh>
    <phoneticPr fontId="6"/>
  </si>
  <si>
    <t>炎上の炎</t>
    <rPh sb="0" eb="2">
      <t>エンジョウ</t>
    </rPh>
    <rPh sb="3" eb="4">
      <t>ホノオ</t>
    </rPh>
    <phoneticPr fontId="6"/>
  </si>
  <si>
    <t>腐食性</t>
    <rPh sb="0" eb="3">
      <t>フショクセイ</t>
    </rPh>
    <phoneticPr fontId="6"/>
  </si>
  <si>
    <t>ガスボンベ</t>
    <phoneticPr fontId="6"/>
  </si>
  <si>
    <t>どくろ</t>
    <phoneticPr fontId="6"/>
  </si>
  <si>
    <t>健康有害性</t>
    <rPh sb="0" eb="2">
      <t>ケンコウ</t>
    </rPh>
    <rPh sb="2" eb="5">
      <t>ユウガイセイ</t>
    </rPh>
    <phoneticPr fontId="6"/>
  </si>
  <si>
    <t>感嘆符</t>
    <rPh sb="0" eb="3">
      <t>カンタンフ</t>
    </rPh>
    <phoneticPr fontId="6"/>
  </si>
  <si>
    <t>文字変数</t>
    <rPh sb="0" eb="2">
      <t>モジ</t>
    </rPh>
    <rPh sb="2" eb="4">
      <t>ヘンスウ</t>
    </rPh>
    <phoneticPr fontId="6"/>
  </si>
  <si>
    <t>数字変数</t>
    <rPh sb="0" eb="2">
      <t>スウジ</t>
    </rPh>
    <rPh sb="2" eb="4">
      <t>ヘンスウ</t>
    </rPh>
    <phoneticPr fontId="6"/>
  </si>
  <si>
    <t>円上の炎</t>
    <rPh sb="0" eb="1">
      <t>エン</t>
    </rPh>
    <rPh sb="1" eb="2">
      <t>ジョウ</t>
    </rPh>
    <rPh sb="3" eb="4">
      <t>ホノオ</t>
    </rPh>
    <phoneticPr fontId="6"/>
  </si>
  <si>
    <t>ドラフト等</t>
    <rPh sb="4" eb="5">
      <t>ナド</t>
    </rPh>
    <phoneticPr fontId="6"/>
  </si>
  <si>
    <t>文字</t>
    <rPh sb="0" eb="2">
      <t>モジ</t>
    </rPh>
    <phoneticPr fontId="6"/>
  </si>
  <si>
    <t>-</t>
    <phoneticPr fontId="6"/>
  </si>
  <si>
    <t>HL5</t>
    <phoneticPr fontId="6"/>
  </si>
  <si>
    <t>HL4</t>
    <phoneticPr fontId="6"/>
  </si>
  <si>
    <t>-</t>
    <phoneticPr fontId="6"/>
  </si>
  <si>
    <t>HL5相当</t>
    <rPh sb="3" eb="5">
      <t>ソウトウ</t>
    </rPh>
    <phoneticPr fontId="6"/>
  </si>
  <si>
    <t>HL4相当</t>
    <rPh sb="3" eb="5">
      <t>ソウトウ</t>
    </rPh>
    <phoneticPr fontId="6"/>
  </si>
  <si>
    <t>最大ＨＬ</t>
    <rPh sb="0" eb="2">
      <t>サイダイ</t>
    </rPh>
    <phoneticPr fontId="6"/>
  </si>
  <si>
    <t>HL5 相当</t>
    <rPh sb="4" eb="6">
      <t>ソウトウ</t>
    </rPh>
    <phoneticPr fontId="6"/>
  </si>
  <si>
    <t>HL4 相当</t>
    <rPh sb="4" eb="6">
      <t>ソウトウ</t>
    </rPh>
    <phoneticPr fontId="6"/>
  </si>
  <si>
    <t xml:space="preserve"> </t>
    <phoneticPr fontId="6"/>
  </si>
  <si>
    <t>(健康影響)</t>
    <rPh sb="1" eb="3">
      <t>ケンコウ</t>
    </rPh>
    <rPh sb="3" eb="5">
      <t>エイキョウ</t>
    </rPh>
    <phoneticPr fontId="6"/>
  </si>
  <si>
    <t>通常使用</t>
    <rPh sb="0" eb="2">
      <t>ツウジョウ</t>
    </rPh>
    <rPh sb="2" eb="4">
      <t>シヨウ</t>
    </rPh>
    <phoneticPr fontId="6"/>
  </si>
  <si>
    <t>簡易評価</t>
    <rPh sb="0" eb="2">
      <t>カンイ</t>
    </rPh>
    <rPh sb="2" eb="4">
      <t>ヒョウカ</t>
    </rPh>
    <phoneticPr fontId="6"/>
  </si>
  <si>
    <t>通常外</t>
    <rPh sb="0" eb="2">
      <t>ツウジョウ</t>
    </rPh>
    <rPh sb="2" eb="3">
      <t>ガイ</t>
    </rPh>
    <phoneticPr fontId="6"/>
  </si>
  <si>
    <t>通常外</t>
    <rPh sb="0" eb="2">
      <t>ツウジョウ</t>
    </rPh>
    <rPh sb="2" eb="3">
      <t>ガイ</t>
    </rPh>
    <phoneticPr fontId="6"/>
  </si>
  <si>
    <t>該当</t>
    <rPh sb="0" eb="2">
      <t>ガイトウ</t>
    </rPh>
    <phoneticPr fontId="6"/>
  </si>
  <si>
    <t>A 使用量</t>
    <rPh sb="2" eb="5">
      <t>シヨウリョウ</t>
    </rPh>
    <phoneticPr fontId="6"/>
  </si>
  <si>
    <t>使用量　A=</t>
    <rPh sb="0" eb="3">
      <t>シヨウリョウ</t>
    </rPh>
    <phoneticPr fontId="6"/>
  </si>
  <si>
    <t>要確認</t>
    <rPh sb="0" eb="1">
      <t>ヨウ</t>
    </rPh>
    <rPh sb="1" eb="3">
      <t>カクニン</t>
    </rPh>
    <phoneticPr fontId="6"/>
  </si>
  <si>
    <t>確認推奨</t>
    <rPh sb="0" eb="2">
      <t>カクニン</t>
    </rPh>
    <rPh sb="2" eb="4">
      <t>スイショウ</t>
    </rPh>
    <phoneticPr fontId="6"/>
  </si>
  <si>
    <t>確認パラメーター</t>
    <rPh sb="0" eb="2">
      <t>カクニン</t>
    </rPh>
    <phoneticPr fontId="6"/>
  </si>
  <si>
    <t>1: 要確認</t>
    <rPh sb="3" eb="4">
      <t>ヨウ</t>
    </rPh>
    <rPh sb="4" eb="6">
      <t>カクニン</t>
    </rPh>
    <phoneticPr fontId="6"/>
  </si>
  <si>
    <t>2: 確認推奨</t>
    <rPh sb="3" eb="5">
      <t>カクニン</t>
    </rPh>
    <rPh sb="5" eb="7">
      <t>スイショウ</t>
    </rPh>
    <phoneticPr fontId="6"/>
  </si>
  <si>
    <r>
      <t xml:space="preserve">3: </t>
    </r>
    <r>
      <rPr>
        <sz val="11"/>
        <color theme="1"/>
        <rFont val="Yu Gothic"/>
        <family val="2"/>
        <charset val="128"/>
        <scheme val="minor"/>
      </rPr>
      <t>確認不要</t>
    </r>
    <rPh sb="3" eb="5">
      <t>カクニン</t>
    </rPh>
    <rPh sb="5" eb="7">
      <t>フヨウ</t>
    </rPh>
    <phoneticPr fontId="6"/>
  </si>
  <si>
    <r>
      <rPr>
        <sz val="8"/>
        <color theme="1"/>
        <rFont val="ＭＳ Ｐゴシック"/>
        <family val="3"/>
        <charset val="128"/>
      </rPr>
      <t>試薬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HL=</t>
    </r>
    <rPh sb="0" eb="2">
      <t>シヤク</t>
    </rPh>
    <phoneticPr fontId="6"/>
  </si>
  <si>
    <r>
      <rPr>
        <sz val="8"/>
        <color theme="1"/>
        <rFont val="ＭＳ Ｐゴシック"/>
        <family val="3"/>
        <charset val="128"/>
      </rPr>
      <t>環境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RL=</t>
    </r>
    <rPh sb="0" eb="2">
      <t>カンキョウ</t>
    </rPh>
    <phoneticPr fontId="6"/>
  </si>
  <si>
    <t>SDS
確認</t>
    <rPh sb="4" eb="6">
      <t>カクニン</t>
    </rPh>
    <phoneticPr fontId="6"/>
  </si>
  <si>
    <t>4又は5の時、対策が必須</t>
    <rPh sb="1" eb="2">
      <t>マタ</t>
    </rPh>
    <rPh sb="5" eb="6">
      <t>トキ</t>
    </rPh>
    <rPh sb="7" eb="9">
      <t>タイサク</t>
    </rPh>
    <rPh sb="10" eb="12">
      <t>ヒッスウ</t>
    </rPh>
    <phoneticPr fontId="6"/>
  </si>
  <si>
    <t>有機溶剤・特化則</t>
    <rPh sb="0" eb="2">
      <t>ユウキ</t>
    </rPh>
    <rPh sb="2" eb="4">
      <t>ヨウザイ</t>
    </rPh>
    <rPh sb="5" eb="7">
      <t>トッカ</t>
    </rPh>
    <rPh sb="7" eb="8">
      <t>ソク</t>
    </rPh>
    <phoneticPr fontId="6"/>
  </si>
  <si>
    <t>毒物・劇物</t>
    <rPh sb="0" eb="2">
      <t>ドクブツ</t>
    </rPh>
    <rPh sb="3" eb="5">
      <t>ゲキブツ</t>
    </rPh>
    <phoneticPr fontId="6"/>
  </si>
  <si>
    <t>（記載例）</t>
    <rPh sb="1" eb="3">
      <t>キサイ</t>
    </rPh>
    <rPh sb="3" eb="4">
      <t>レイ</t>
    </rPh>
    <phoneticPr fontId="6"/>
  </si>
  <si>
    <t>1kg以上使用</t>
  </si>
  <si>
    <t>接触頻度12.5%以上</t>
    <phoneticPr fontId="6"/>
  </si>
  <si>
    <t>(縮小版）</t>
    <rPh sb="1" eb="3">
      <t>シュクショウ</t>
    </rPh>
    <rPh sb="3" eb="4">
      <t>バン</t>
    </rPh>
    <phoneticPr fontId="6"/>
  </si>
  <si>
    <t>不要</t>
    <rPh sb="0" eb="2">
      <t>フヨウ</t>
    </rPh>
    <phoneticPr fontId="6"/>
  </si>
  <si>
    <t>生殖細胞変異毒性1 発がん性1</t>
    <rPh sb="0" eb="2">
      <t>セイショク</t>
    </rPh>
    <rPh sb="2" eb="4">
      <t>サイボウ</t>
    </rPh>
    <rPh sb="4" eb="6">
      <t>ヘンイ</t>
    </rPh>
    <rPh sb="6" eb="8">
      <t>ドクセイ</t>
    </rPh>
    <rPh sb="10" eb="11">
      <t>ハツ</t>
    </rPh>
    <rPh sb="13" eb="14">
      <t>セイ</t>
    </rPh>
    <phoneticPr fontId="6"/>
  </si>
  <si>
    <t xml:space="preserve">急性毒性(経皮)1 生殖毒性1 特定標的(単回)（中枢神経系、視覚器、全身毒性） 1 特定標的(反復)（中枢神経系、視覚器） 1 </t>
  </si>
  <si>
    <t>自己反応性F 水反応性化学品1</t>
    <rPh sb="0" eb="2">
      <t>ジコ</t>
    </rPh>
    <rPh sb="2" eb="5">
      <t>ハンノウセイ</t>
    </rPh>
    <rPh sb="7" eb="8">
      <t>ミズ</t>
    </rPh>
    <rPh sb="8" eb="11">
      <t>ハンノウセイ</t>
    </rPh>
    <rPh sb="11" eb="14">
      <t>カガクヒン</t>
    </rPh>
    <phoneticPr fontId="6"/>
  </si>
  <si>
    <t>急性毒性（経皮）1  毒物  発がん性２  特化物（第２類）</t>
    <rPh sb="0" eb="2">
      <t>キュウセイ</t>
    </rPh>
    <rPh sb="2" eb="4">
      <t>ドクセイ</t>
    </rPh>
    <rPh sb="5" eb="7">
      <t>ケイヒ</t>
    </rPh>
    <rPh sb="11" eb="13">
      <t>ドクブツ</t>
    </rPh>
    <rPh sb="15" eb="16">
      <t>ハツ</t>
    </rPh>
    <rPh sb="18" eb="19">
      <t>セイ</t>
    </rPh>
    <rPh sb="22" eb="24">
      <t>トッカ</t>
    </rPh>
    <rPh sb="24" eb="25">
      <t>ブツ</t>
    </rPh>
    <rPh sb="26" eb="27">
      <t>ダイ</t>
    </rPh>
    <rPh sb="28" eb="29">
      <t>ルイ</t>
    </rPh>
    <phoneticPr fontId="6"/>
  </si>
  <si>
    <t>など</t>
    <phoneticPr fontId="6"/>
  </si>
  <si>
    <t>GHS</t>
    <phoneticPr fontId="6"/>
  </si>
  <si>
    <t xml:space="preserve">試薬名 </t>
    <rPh sb="0" eb="2">
      <t>シヤク</t>
    </rPh>
    <rPh sb="2" eb="3">
      <t>メイ</t>
    </rPh>
    <phoneticPr fontId="6"/>
  </si>
  <si>
    <t>（例）</t>
    <rPh sb="1" eb="2">
      <t>レイ</t>
    </rPh>
    <phoneticPr fontId="6"/>
  </si>
  <si>
    <t>詳細評価</t>
  </si>
  <si>
    <t>文字</t>
    <rPh sb="0" eb="2">
      <t>モジ</t>
    </rPh>
    <phoneticPr fontId="6"/>
  </si>
  <si>
    <t>沸点</t>
    <rPh sb="0" eb="2">
      <t>フッテン</t>
    </rPh>
    <phoneticPr fontId="6"/>
  </si>
  <si>
    <t>火薬類</t>
    <rPh sb="0" eb="2">
      <t>カヤク</t>
    </rPh>
    <rPh sb="2" eb="3">
      <t>ルイ</t>
    </rPh>
    <phoneticPr fontId="6"/>
  </si>
  <si>
    <t>火薬類</t>
    <rPh sb="0" eb="2">
      <t>カヤク</t>
    </rPh>
    <rPh sb="2" eb="3">
      <t>ルイ</t>
    </rPh>
    <phoneticPr fontId="6"/>
  </si>
  <si>
    <t>火薬類（爆発物）</t>
    <rPh sb="0" eb="2">
      <t>カヤク</t>
    </rPh>
    <rPh sb="2" eb="3">
      <t>ルイ</t>
    </rPh>
    <rPh sb="4" eb="7">
      <t>バクハツブツ</t>
    </rPh>
    <phoneticPr fontId="6"/>
  </si>
  <si>
    <t>火薬類（爆発物）</t>
    <rPh sb="0" eb="2">
      <t>カヤク</t>
    </rPh>
    <rPh sb="2" eb="3">
      <t>ルイ</t>
    </rPh>
    <rPh sb="4" eb="7">
      <t>バクハツブツ</t>
    </rPh>
    <phoneticPr fontId="6"/>
  </si>
  <si>
    <t>文字</t>
    <rPh sb="0" eb="2">
      <t>モジ</t>
    </rPh>
    <phoneticPr fontId="6"/>
  </si>
  <si>
    <t>該当なし</t>
    <rPh sb="0" eb="2">
      <t>ガイトウ</t>
    </rPh>
    <phoneticPr fontId="6"/>
  </si>
  <si>
    <t>毒劇物</t>
    <rPh sb="0" eb="1">
      <t>ドク</t>
    </rPh>
    <rPh sb="1" eb="3">
      <t>ゲキブツ</t>
    </rPh>
    <phoneticPr fontId="6"/>
  </si>
  <si>
    <t>火薬</t>
    <rPh sb="0" eb="2">
      <t>カヤク</t>
    </rPh>
    <phoneticPr fontId="6"/>
  </si>
  <si>
    <t>該当</t>
    <rPh sb="0" eb="2">
      <t>ガイトウ</t>
    </rPh>
    <phoneticPr fontId="6"/>
  </si>
  <si>
    <t>文字変換</t>
    <rPh sb="0" eb="2">
      <t>モジ</t>
    </rPh>
    <rPh sb="2" eb="4">
      <t>ヘンカン</t>
    </rPh>
    <phoneticPr fontId="6"/>
  </si>
  <si>
    <r>
      <t>b.p. (</t>
    </r>
    <r>
      <rPr>
        <b/>
        <vertAlign val="superscript"/>
        <sz val="10"/>
        <color theme="3"/>
        <rFont val="Century"/>
        <family val="1"/>
      </rPr>
      <t>o</t>
    </r>
    <r>
      <rPr>
        <b/>
        <sz val="10"/>
        <color theme="3"/>
        <rFont val="Century"/>
        <family val="1"/>
      </rPr>
      <t>C)</t>
    </r>
    <phoneticPr fontId="6"/>
  </si>
  <si>
    <r>
      <rPr>
        <sz val="8"/>
        <color theme="4"/>
        <rFont val="ＭＳ Ｐゴシック"/>
        <family val="3"/>
        <charset val="128"/>
      </rPr>
      <t>試薬</t>
    </r>
    <r>
      <rPr>
        <sz val="10"/>
        <color theme="4"/>
        <rFont val="ＭＳ Ｐゴシック"/>
        <family val="3"/>
        <charset val="128"/>
      </rPr>
      <t>　</t>
    </r>
    <r>
      <rPr>
        <sz val="10"/>
        <color theme="4"/>
        <rFont val="Arial"/>
        <family val="2"/>
      </rPr>
      <t>HL=</t>
    </r>
    <rPh sb="0" eb="2">
      <t>シヤク</t>
    </rPh>
    <phoneticPr fontId="6"/>
  </si>
  <si>
    <t>酸化性</t>
    <rPh sb="0" eb="3">
      <t>サンカセイ</t>
    </rPh>
    <phoneticPr fontId="6"/>
  </si>
  <si>
    <r>
      <t xml:space="preserve">Sample name </t>
    </r>
    <r>
      <rPr>
        <sz val="12"/>
        <color theme="1"/>
        <rFont val="ＭＳ Ｐ明朝"/>
        <family val="1"/>
        <charset val="128"/>
      </rPr>
      <t>　試薬名</t>
    </r>
    <rPh sb="13" eb="15">
      <t>シヤク</t>
    </rPh>
    <rPh sb="15" eb="16">
      <t>メイ</t>
    </rPh>
    <phoneticPr fontId="6"/>
  </si>
  <si>
    <t>要確認チェック</t>
    <rPh sb="0" eb="1">
      <t>ヨウ</t>
    </rPh>
    <rPh sb="1" eb="3">
      <t>カクニン</t>
    </rPh>
    <phoneticPr fontId="6"/>
  </si>
  <si>
    <t>通常使用の条件　　「使用量　1kg(L)以下， 着衣の汚れ 無し, 接触頻度  12.5%未満」</t>
    <rPh sb="0" eb="2">
      <t>ツウジョウ</t>
    </rPh>
    <rPh sb="2" eb="4">
      <t>シヨウ</t>
    </rPh>
    <rPh sb="5" eb="7">
      <t>ジョウケン</t>
    </rPh>
    <rPh sb="10" eb="12">
      <t>シヨウ</t>
    </rPh>
    <rPh sb="12" eb="13">
      <t>リョウ</t>
    </rPh>
    <rPh sb="20" eb="22">
      <t>イカ</t>
    </rPh>
    <rPh sb="24" eb="26">
      <t>チャクイ</t>
    </rPh>
    <rPh sb="27" eb="28">
      <t>ヨゴ</t>
    </rPh>
    <rPh sb="30" eb="31">
      <t>ナ</t>
    </rPh>
    <rPh sb="34" eb="36">
      <t>セッショク</t>
    </rPh>
    <rPh sb="36" eb="38">
      <t>ヒンド</t>
    </rPh>
    <rPh sb="45" eb="47">
      <t>ミマン</t>
    </rPh>
    <phoneticPr fontId="6"/>
  </si>
  <si>
    <t>　　　　本シートについての要望・問い合わせは、上記までご連絡ください</t>
    <rPh sb="4" eb="5">
      <t>ホン</t>
    </rPh>
    <rPh sb="13" eb="15">
      <t>ヨウボウ</t>
    </rPh>
    <rPh sb="16" eb="17">
      <t>ト</t>
    </rPh>
    <rPh sb="18" eb="19">
      <t>ア</t>
    </rPh>
    <rPh sb="23" eb="25">
      <t>ジョウキ</t>
    </rPh>
    <rPh sb="28" eb="30">
      <t>レンラク</t>
    </rPh>
    <phoneticPr fontId="1"/>
  </si>
  <si>
    <t>指定物３</t>
    <phoneticPr fontId="6"/>
  </si>
  <si>
    <t>高度引火性</t>
    <phoneticPr fontId="6"/>
  </si>
  <si>
    <t>ドラフト等の使用</t>
    <rPh sb="4" eb="5">
      <t>ナド</t>
    </rPh>
    <rPh sb="6" eb="8">
      <t>シヨウ</t>
    </rPh>
    <phoneticPr fontId="6"/>
  </si>
  <si>
    <t>(学内）</t>
    <rPh sb="1" eb="3">
      <t>ガクナイ</t>
    </rPh>
    <phoneticPr fontId="6"/>
  </si>
  <si>
    <t>ドラフト法令</t>
    <rPh sb="4" eb="6">
      <t>ホウレイ</t>
    </rPh>
    <phoneticPr fontId="6"/>
  </si>
  <si>
    <t>学内ドラフト</t>
    <rPh sb="0" eb="2">
      <t>ガクナイ</t>
    </rPh>
    <phoneticPr fontId="6"/>
  </si>
  <si>
    <t>使用義務</t>
    <rPh sb="0" eb="2">
      <t>シヨウ</t>
    </rPh>
    <rPh sb="2" eb="4">
      <t>ギム</t>
    </rPh>
    <phoneticPr fontId="6"/>
  </si>
  <si>
    <t>指定物１</t>
    <rPh sb="0" eb="2">
      <t>シテイ</t>
    </rPh>
    <rPh sb="2" eb="3">
      <t>ブツ</t>
    </rPh>
    <phoneticPr fontId="6"/>
  </si>
  <si>
    <t>ドラフト法令</t>
    <rPh sb="4" eb="6">
      <t>ホウレイ</t>
    </rPh>
    <phoneticPr fontId="6"/>
  </si>
  <si>
    <t>学内ドラフト使用義務</t>
    <rPh sb="0" eb="2">
      <t>ガクナイ</t>
    </rPh>
    <rPh sb="6" eb="8">
      <t>シヨウ</t>
    </rPh>
    <rPh sb="8" eb="10">
      <t>ギム</t>
    </rPh>
    <phoneticPr fontId="6"/>
  </si>
  <si>
    <t>RL=</t>
    <phoneticPr fontId="6"/>
  </si>
  <si>
    <t>RL&gt;3</t>
    <phoneticPr fontId="6"/>
  </si>
  <si>
    <t>前半分</t>
    <rPh sb="0" eb="2">
      <t>ゼンハン</t>
    </rPh>
    <rPh sb="2" eb="3">
      <t>ブン</t>
    </rPh>
    <phoneticPr fontId="6"/>
  </si>
  <si>
    <t>後半分</t>
    <rPh sb="0" eb="1">
      <t>ウシ</t>
    </rPh>
    <rPh sb="1" eb="3">
      <t>ハンブン</t>
    </rPh>
    <phoneticPr fontId="6"/>
  </si>
  <si>
    <t>指定物３</t>
    <rPh sb="0" eb="2">
      <t>シテイ</t>
    </rPh>
    <rPh sb="2" eb="3">
      <t>ブツ</t>
    </rPh>
    <phoneticPr fontId="6"/>
  </si>
  <si>
    <t>1㎏以上</t>
    <rPh sb="2" eb="4">
      <t>イジョウ</t>
    </rPh>
    <phoneticPr fontId="6"/>
  </si>
  <si>
    <t>1kg未満</t>
    <rPh sb="3" eb="5">
      <t>ミマン</t>
    </rPh>
    <phoneticPr fontId="6"/>
  </si>
  <si>
    <t>1ton以上</t>
    <rPh sb="4" eb="6">
      <t>イジョウ</t>
    </rPh>
    <phoneticPr fontId="6"/>
  </si>
  <si>
    <t>100g 未満</t>
    <rPh sb="5" eb="7">
      <t>ミマン</t>
    </rPh>
    <phoneticPr fontId="6"/>
  </si>
  <si>
    <t>10g 未満</t>
    <rPh sb="4" eb="6">
      <t>ミマン</t>
    </rPh>
    <phoneticPr fontId="6"/>
  </si>
  <si>
    <t>1g 未満</t>
    <rPh sb="3" eb="5">
      <t>ミマン</t>
    </rPh>
    <phoneticPr fontId="6"/>
  </si>
  <si>
    <t>10 g以上</t>
  </si>
  <si>
    <t>10 g未満</t>
  </si>
  <si>
    <t>1 g未満</t>
  </si>
  <si>
    <t>1 g 以上</t>
  </si>
  <si>
    <t>1 g 未満</t>
  </si>
  <si>
    <t>100 g 以上</t>
  </si>
  <si>
    <t>100 g未満</t>
  </si>
  <si>
    <t>1,2,3,6</t>
    <phoneticPr fontId="6"/>
  </si>
  <si>
    <t>1,2,3,5,6</t>
    <phoneticPr fontId="6"/>
  </si>
  <si>
    <t>4,5,6</t>
    <phoneticPr fontId="6"/>
  </si>
  <si>
    <t>1,2,3</t>
    <phoneticPr fontId="6"/>
  </si>
  <si>
    <t>化学以外</t>
    <rPh sb="0" eb="2">
      <t>カガク</t>
    </rPh>
    <rPh sb="2" eb="4">
      <t>イガイ</t>
    </rPh>
    <phoneticPr fontId="6"/>
  </si>
  <si>
    <t>化学</t>
    <rPh sb="0" eb="2">
      <t>カガク</t>
    </rPh>
    <phoneticPr fontId="6"/>
  </si>
  <si>
    <t xml:space="preserve"> 使用値</t>
    <rPh sb="1" eb="3">
      <t>シヨウ</t>
    </rPh>
    <rPh sb="3" eb="4">
      <t>チ</t>
    </rPh>
    <phoneticPr fontId="6"/>
  </si>
  <si>
    <t>教員等による</t>
    <rPh sb="0" eb="2">
      <t>キョウイン</t>
    </rPh>
    <rPh sb="2" eb="3">
      <t>ナド</t>
    </rPh>
    <phoneticPr fontId="6"/>
  </si>
  <si>
    <t>指定物3（高度引火性）</t>
    <rPh sb="0" eb="2">
      <t>シテイ</t>
    </rPh>
    <rPh sb="2" eb="3">
      <t>ブツ</t>
    </rPh>
    <phoneticPr fontId="6"/>
  </si>
  <si>
    <t>10 g未満</t>
    <phoneticPr fontId="6"/>
  </si>
  <si>
    <t>1 g未満</t>
    <phoneticPr fontId="6"/>
  </si>
  <si>
    <t>1,2,3,6</t>
    <phoneticPr fontId="6"/>
  </si>
  <si>
    <t>10 g 以上</t>
    <phoneticPr fontId="6"/>
  </si>
  <si>
    <t>その他（化学外）</t>
    <rPh sb="2" eb="3">
      <t>タ</t>
    </rPh>
    <rPh sb="4" eb="6">
      <t>カガク</t>
    </rPh>
    <rPh sb="6" eb="7">
      <t>ガイ</t>
    </rPh>
    <phoneticPr fontId="6"/>
  </si>
  <si>
    <t>その他（化学）</t>
    <rPh sb="2" eb="3">
      <t>タ</t>
    </rPh>
    <rPh sb="4" eb="6">
      <t>カガク</t>
    </rPh>
    <phoneticPr fontId="6"/>
  </si>
  <si>
    <t>数値</t>
    <rPh sb="0" eb="1">
      <t>スウ</t>
    </rPh>
    <rPh sb="1" eb="2">
      <t>アタイ</t>
    </rPh>
    <phoneticPr fontId="6"/>
  </si>
  <si>
    <t>物理化学的危険性</t>
    <rPh sb="0" eb="2">
      <t>ぶつり</t>
    </rPh>
    <rPh sb="2" eb="5">
      <t>かがくてき</t>
    </rPh>
    <rPh sb="5" eb="8">
      <t>きけんせい</t>
    </rPh>
    <phoneticPr fontId="2" type="Hiragana"/>
  </si>
  <si>
    <t>分類対象外</t>
    <rPh sb="0" eb="2">
      <t>ぶんるい</t>
    </rPh>
    <rPh sb="2" eb="5">
      <t>たいしょうがい</t>
    </rPh>
    <phoneticPr fontId="2" type="Hiragana"/>
  </si>
  <si>
    <t>区分外</t>
    <rPh sb="0" eb="3">
      <t>くぶんがい</t>
    </rPh>
    <phoneticPr fontId="2" type="Hiragana"/>
  </si>
  <si>
    <t>○ 可燃性固体</t>
  </si>
  <si>
    <t>● 自己反応性化学品</t>
  </si>
  <si>
    <t>● 自然発火性液体</t>
  </si>
  <si>
    <t>● 自然発火性固体</t>
  </si>
  <si>
    <t>○ 自己発熱性化学品</t>
  </si>
  <si>
    <t>● 水反応可燃性化学品</t>
  </si>
  <si>
    <t>○ 酸化性液体</t>
  </si>
  <si>
    <t>○ 酸化性固体</t>
  </si>
  <si>
    <t>● 有機過酸化物</t>
  </si>
  <si>
    <t>○ 金属腐食性物質</t>
  </si>
  <si>
    <t>○ 火薬類（爆発物）</t>
  </si>
  <si>
    <t>● 引火性液体</t>
    <phoneticPr fontId="6"/>
  </si>
  <si>
    <t>爆発物</t>
    <rPh sb="0" eb="3">
      <t>ばくはつぶつ</t>
    </rPh>
    <phoneticPr fontId="2" type="Hiragana"/>
  </si>
  <si>
    <t>可燃性ガス</t>
    <rPh sb="0" eb="3">
      <t>かねんせい</t>
    </rPh>
    <phoneticPr fontId="2" type="Hiragana"/>
  </si>
  <si>
    <t>エアゾール</t>
  </si>
  <si>
    <t>酸化性ガス</t>
    <rPh sb="0" eb="3">
      <t>さんかせい</t>
    </rPh>
    <phoneticPr fontId="2" type="Hiragana"/>
  </si>
  <si>
    <t>不安定爆発物</t>
    <rPh sb="0" eb="3">
      <t>ふあんてい</t>
    </rPh>
    <rPh sb="3" eb="6">
      <t>ばくはつぶつ</t>
    </rPh>
    <phoneticPr fontId="2" type="Hiragana"/>
  </si>
  <si>
    <t>高圧ガス</t>
    <rPh sb="0" eb="2">
      <t>こうあつ</t>
    </rPh>
    <phoneticPr fontId="2" type="Hiragana"/>
  </si>
  <si>
    <t>引火性液体</t>
    <rPh sb="0" eb="3">
      <t>いんかせい</t>
    </rPh>
    <rPh sb="3" eb="5">
      <t>えきたい</t>
    </rPh>
    <phoneticPr fontId="2" type="Hiragana"/>
  </si>
  <si>
    <t>可燃性固体</t>
    <rPh sb="0" eb="3">
      <t>かねんせい</t>
    </rPh>
    <rPh sb="3" eb="5">
      <t>こたい</t>
    </rPh>
    <phoneticPr fontId="2" type="Hiragana"/>
  </si>
  <si>
    <t>自己反応性</t>
    <rPh sb="0" eb="2">
      <t>じこ</t>
    </rPh>
    <rPh sb="2" eb="5">
      <t>はんのうせい</t>
    </rPh>
    <phoneticPr fontId="2" type="Hiragana"/>
  </si>
  <si>
    <t>発火性</t>
    <rPh sb="0" eb="3">
      <t>はっかせい</t>
    </rPh>
    <phoneticPr fontId="2" type="Hiragana"/>
  </si>
  <si>
    <t>発熱性</t>
    <rPh sb="0" eb="3">
      <t>はつねつせい</t>
    </rPh>
    <phoneticPr fontId="2" type="Hiragana"/>
  </si>
  <si>
    <t>有機過酸化物</t>
    <rPh sb="0" eb="2">
      <t>ゆうき</t>
    </rPh>
    <rPh sb="2" eb="5">
      <t>かさんか</t>
    </rPh>
    <rPh sb="5" eb="6">
      <t>ぶつ</t>
    </rPh>
    <phoneticPr fontId="2" type="Hiragana"/>
  </si>
  <si>
    <t>圧縮ガス</t>
  </si>
  <si>
    <t>液化ガス</t>
  </si>
  <si>
    <t>溶解ガス</t>
  </si>
  <si>
    <t>深冷液化ガス</t>
  </si>
  <si>
    <t>分類できない</t>
    <rPh sb="0" eb="2">
      <t>ぶんるい</t>
    </rPh>
    <phoneticPr fontId="2" type="Hiragana"/>
  </si>
  <si>
    <t>水反応性</t>
    <rPh sb="0" eb="1">
      <t>みず</t>
    </rPh>
    <rPh sb="1" eb="4">
      <t>はんのうせい</t>
    </rPh>
    <phoneticPr fontId="2" type="Hiragana"/>
  </si>
  <si>
    <t>酸化性液体</t>
    <rPh sb="0" eb="3">
      <t>さんかせい</t>
    </rPh>
    <rPh sb="3" eb="5">
      <t>えきたい</t>
    </rPh>
    <phoneticPr fontId="2" type="Hiragana"/>
  </si>
  <si>
    <t>酸化性固体</t>
    <rPh sb="0" eb="3">
      <t>さんかせい</t>
    </rPh>
    <rPh sb="3" eb="5">
      <t>こたい</t>
    </rPh>
    <phoneticPr fontId="2" type="Hiragana"/>
  </si>
  <si>
    <t>金属腐食性</t>
    <rPh sb="0" eb="2">
      <t>きんぞく</t>
    </rPh>
    <rPh sb="2" eb="4">
      <t>ふしょく</t>
    </rPh>
    <rPh sb="4" eb="5">
      <t>せい</t>
    </rPh>
    <phoneticPr fontId="2" type="Hiragana"/>
  </si>
  <si>
    <t>評価</t>
    <rPh sb="0" eb="2">
      <t>ヒョウカ</t>
    </rPh>
    <phoneticPr fontId="6"/>
  </si>
  <si>
    <t>-</t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</si>
  <si>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</si>
  <si>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</si>
  <si>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</si>
  <si>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</si>
  <si>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</si>
  <si>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</si>
  <si>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</si>
  <si>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A</t>
    <phoneticPr fontId="6"/>
  </si>
  <si>
    <t>C</t>
    <phoneticPr fontId="6"/>
  </si>
  <si>
    <t>有無check</t>
    <rPh sb="0" eb="2">
      <t>ウム</t>
    </rPh>
    <phoneticPr fontId="6"/>
  </si>
  <si>
    <t>区分外</t>
    <rPh sb="0" eb="2">
      <t>くぶん</t>
    </rPh>
    <rPh sb="2" eb="3">
      <t>がい</t>
    </rPh>
    <phoneticPr fontId="2" type="Hiragana"/>
  </si>
  <si>
    <t>最大値</t>
    <rPh sb="0" eb="3">
      <t>サイダイチ</t>
    </rPh>
    <phoneticPr fontId="6"/>
  </si>
  <si>
    <t>　CRAは、６ が危険大</t>
    <rPh sb="9" eb="11">
      <t>キケン</t>
    </rPh>
    <rPh sb="11" eb="12">
      <t>ダイ</t>
    </rPh>
    <phoneticPr fontId="6"/>
  </si>
  <si>
    <t>有害性 RL評価値</t>
    <rPh sb="6" eb="8">
      <t>ヒョウカ</t>
    </rPh>
    <rPh sb="8" eb="9">
      <t>アタイ</t>
    </rPh>
    <phoneticPr fontId="6"/>
  </si>
  <si>
    <t>RL=</t>
    <phoneticPr fontId="6"/>
  </si>
  <si>
    <t>前半</t>
    <rPh sb="0" eb="2">
      <t>ゼンハン</t>
    </rPh>
    <phoneticPr fontId="6"/>
  </si>
  <si>
    <t>後半</t>
    <rPh sb="0" eb="2">
      <t>コウハン</t>
    </rPh>
    <phoneticPr fontId="6"/>
  </si>
  <si>
    <t>皮膚感作性</t>
    <rPh sb="0" eb="2">
      <t>ヒフ</t>
    </rPh>
    <rPh sb="2" eb="4">
      <t>カンサ</t>
    </rPh>
    <rPh sb="4" eb="5">
      <t>セイ</t>
    </rPh>
    <phoneticPr fontId="6"/>
  </si>
  <si>
    <t>眼/皮膚刺激性</t>
    <rPh sb="0" eb="1">
      <t>メ</t>
    </rPh>
    <rPh sb="2" eb="4">
      <t>ヒフ</t>
    </rPh>
    <rPh sb="4" eb="6">
      <t>シゲキ</t>
    </rPh>
    <rPh sb="6" eb="7">
      <t>セイ</t>
    </rPh>
    <phoneticPr fontId="6"/>
  </si>
  <si>
    <t>その他</t>
    <rPh sb="2" eb="3">
      <t>タ</t>
    </rPh>
    <phoneticPr fontId="6"/>
  </si>
  <si>
    <t>どくろ</t>
    <phoneticPr fontId="6"/>
  </si>
  <si>
    <t>腐食性</t>
    <rPh sb="0" eb="3">
      <t>フショクセイ</t>
    </rPh>
    <phoneticPr fontId="6"/>
  </si>
  <si>
    <t>呼吸器感作性</t>
    <rPh sb="0" eb="3">
      <t>コキュウキ</t>
    </rPh>
    <rPh sb="3" eb="5">
      <t>カンサ</t>
    </rPh>
    <rPh sb="5" eb="6">
      <t>セイ</t>
    </rPh>
    <phoneticPr fontId="6"/>
  </si>
  <si>
    <t>「シンボルの割当てに関する優先順位」判別用（感嘆符非表示）</t>
    <rPh sb="18" eb="20">
      <t>ハンベツ</t>
    </rPh>
    <rPh sb="20" eb="21">
      <t>ヨウ</t>
    </rPh>
    <rPh sb="22" eb="25">
      <t>カンタンフ</t>
    </rPh>
    <rPh sb="25" eb="28">
      <t>ヒヒョウジ</t>
    </rPh>
    <phoneticPr fontId="6"/>
  </si>
  <si>
    <t>メモ</t>
    <phoneticPr fontId="6"/>
  </si>
  <si>
    <t>「実施シート」　セルG12に「CRA」と入力すると、CRA 危険性評価値が表示される。</t>
    <rPh sb="1" eb="3">
      <t>ジッシ</t>
    </rPh>
    <rPh sb="20" eb="22">
      <t>ニュウリョク</t>
    </rPh>
    <rPh sb="30" eb="33">
      <t>キケンセイ</t>
    </rPh>
    <rPh sb="33" eb="35">
      <t>ヒョウカ</t>
    </rPh>
    <rPh sb="35" eb="36">
      <t>チ</t>
    </rPh>
    <rPh sb="37" eb="39">
      <t>ヒョウジ</t>
    </rPh>
    <phoneticPr fontId="6"/>
  </si>
  <si>
    <t>「通常使用」条件とは、　「使用量 1kg未満」・「作業着等の汚染なし」・「接触頻度 12.5%未満」　を満たす作業条件を指す。</t>
    <rPh sb="1" eb="3">
      <t>ツウジョウ</t>
    </rPh>
    <rPh sb="3" eb="5">
      <t>シヨウ</t>
    </rPh>
    <rPh sb="6" eb="8">
      <t>ジョウケン</t>
    </rPh>
    <rPh sb="13" eb="15">
      <t>シヨウ</t>
    </rPh>
    <rPh sb="15" eb="16">
      <t>リョウ</t>
    </rPh>
    <rPh sb="20" eb="22">
      <t>ミマン</t>
    </rPh>
    <rPh sb="47" eb="49">
      <t>ミマン</t>
    </rPh>
    <rPh sb="52" eb="53">
      <t>ミ</t>
    </rPh>
    <rPh sb="55" eb="57">
      <t>サギョウ</t>
    </rPh>
    <rPh sb="57" eb="59">
      <t>ジョウケン</t>
    </rPh>
    <rPh sb="60" eb="61">
      <t>サ</t>
    </rPh>
    <phoneticPr fontId="6"/>
  </si>
  <si>
    <t>区分１やＡが最も有害・危険</t>
    <rPh sb="0" eb="2">
      <t>クブン</t>
    </rPh>
    <rPh sb="6" eb="7">
      <t>モット</t>
    </rPh>
    <rPh sb="8" eb="10">
      <t>ユウガイ</t>
    </rPh>
    <rPh sb="11" eb="13">
      <t>キケン</t>
    </rPh>
    <phoneticPr fontId="6"/>
  </si>
  <si>
    <t>特定化学物質（第1類・第2類）　及び　有機溶剤（第1種・第2種）は、　ドラフト使用必須(法的義務）</t>
    <rPh sb="0" eb="2">
      <t>トクテイ</t>
    </rPh>
    <rPh sb="2" eb="4">
      <t>カガク</t>
    </rPh>
    <rPh sb="4" eb="6">
      <t>ブッシツ</t>
    </rPh>
    <rPh sb="7" eb="8">
      <t>ダイ</t>
    </rPh>
    <rPh sb="9" eb="10">
      <t>ルイ</t>
    </rPh>
    <rPh sb="11" eb="12">
      <t>ダイ</t>
    </rPh>
    <rPh sb="13" eb="14">
      <t>ルイ</t>
    </rPh>
    <rPh sb="16" eb="17">
      <t>オヨ</t>
    </rPh>
    <rPh sb="19" eb="21">
      <t>ユウキ</t>
    </rPh>
    <rPh sb="21" eb="23">
      <t>ヨウザイ</t>
    </rPh>
    <rPh sb="24" eb="25">
      <t>ダイ</t>
    </rPh>
    <rPh sb="26" eb="27">
      <t>シュ</t>
    </rPh>
    <rPh sb="28" eb="29">
      <t>ダイ</t>
    </rPh>
    <rPh sb="30" eb="31">
      <t>シュ</t>
    </rPh>
    <rPh sb="39" eb="41">
      <t>シヨウ</t>
    </rPh>
    <rPh sb="41" eb="43">
      <t>ヒッス</t>
    </rPh>
    <rPh sb="44" eb="46">
      <t>ホウテキ</t>
    </rPh>
    <rPh sb="46" eb="48">
      <t>ギム</t>
    </rPh>
    <phoneticPr fontId="6"/>
  </si>
  <si>
    <t>（縮小版 記載例）</t>
    <rPh sb="1" eb="3">
      <t>シュクショウ</t>
    </rPh>
    <rPh sb="3" eb="4">
      <t>バン</t>
    </rPh>
    <rPh sb="5" eb="7">
      <t>キサイ</t>
    </rPh>
    <rPh sb="7" eb="8">
      <t>レイ</t>
    </rPh>
    <phoneticPr fontId="6"/>
  </si>
  <si>
    <t xml:space="preserve">© 2016/3/13 作成 </t>
    <rPh sb="12" eb="14">
      <t>サクセイ</t>
    </rPh>
    <phoneticPr fontId="1"/>
  </si>
  <si>
    <t>参考メモ</t>
    <rPh sb="0" eb="2">
      <t>サンコウ</t>
    </rPh>
    <phoneticPr fontId="6"/>
  </si>
  <si>
    <r>
      <rPr>
        <sz val="8"/>
        <color theme="4"/>
        <rFont val="ＭＳ Ｐゴシック"/>
        <family val="3"/>
        <charset val="128"/>
      </rPr>
      <t>作業環境</t>
    </r>
    <r>
      <rPr>
        <sz val="10"/>
        <color theme="4"/>
        <rFont val="Arial"/>
        <family val="2"/>
      </rPr>
      <t>RL=</t>
    </r>
    <rPh sb="0" eb="2">
      <t>サギョウ</t>
    </rPh>
    <rPh sb="2" eb="4">
      <t>カンキョウ</t>
    </rPh>
    <phoneticPr fontId="6"/>
  </si>
  <si>
    <t>使用環境を考慮した「作業上の有害性」</t>
    <rPh sb="0" eb="2">
      <t>シヨウ</t>
    </rPh>
    <rPh sb="2" eb="4">
      <t>カンキョウ</t>
    </rPh>
    <rPh sb="5" eb="7">
      <t>コウリョ</t>
    </rPh>
    <rPh sb="10" eb="12">
      <t>サギョウ</t>
    </rPh>
    <rPh sb="12" eb="13">
      <t>ジョウ</t>
    </rPh>
    <rPh sb="14" eb="17">
      <t>ユウガイセイ</t>
    </rPh>
    <phoneticPr fontId="6"/>
  </si>
  <si>
    <t>5が最も有害　4又は5の時には、対策が必須</t>
    <rPh sb="8" eb="9">
      <t>マタ</t>
    </rPh>
    <rPh sb="12" eb="13">
      <t>トキ</t>
    </rPh>
    <rPh sb="16" eb="18">
      <t>タイサク</t>
    </rPh>
    <rPh sb="19" eb="21">
      <t>ヒッスウ</t>
    </rPh>
    <phoneticPr fontId="6"/>
  </si>
  <si>
    <t>危険性 CRA評価値</t>
    <rPh sb="0" eb="3">
      <t>キケンセイ</t>
    </rPh>
    <rPh sb="7" eb="9">
      <t>ヒョウカ</t>
    </rPh>
    <rPh sb="9" eb="10">
      <t>アタイ</t>
    </rPh>
    <phoneticPr fontId="6"/>
  </si>
  <si>
    <t>「通常外」条件とは、　「通常使用条件」以外の作業条件</t>
    <rPh sb="1" eb="3">
      <t>ツウジョウ</t>
    </rPh>
    <rPh sb="3" eb="4">
      <t>ガイ</t>
    </rPh>
    <rPh sb="5" eb="7">
      <t>ジョウケン</t>
    </rPh>
    <rPh sb="12" eb="14">
      <t>ツウジョウ</t>
    </rPh>
    <rPh sb="14" eb="16">
      <t>シヨウ</t>
    </rPh>
    <rPh sb="16" eb="18">
      <t>ジョウケン</t>
    </rPh>
    <rPh sb="19" eb="21">
      <t>イガイ</t>
    </rPh>
    <rPh sb="22" eb="24">
      <t>サギョウ</t>
    </rPh>
    <rPh sb="24" eb="26">
      <t>ジョウケン</t>
    </rPh>
    <phoneticPr fontId="6"/>
  </si>
  <si>
    <t>RL bar 表示無</t>
    <rPh sb="7" eb="9">
      <t>ヒョウジ</t>
    </rPh>
    <rPh sb="9" eb="10">
      <t>ナシ</t>
    </rPh>
    <phoneticPr fontId="6"/>
  </si>
  <si>
    <t>該当事項</t>
  </si>
  <si>
    <r>
      <t>特定化学物質　</t>
    </r>
    <r>
      <rPr>
        <sz val="8"/>
        <color theme="1"/>
        <rFont val="ＭＳ 明朝"/>
        <family val="1"/>
        <charset val="128"/>
      </rPr>
      <t>（第３類を除く）</t>
    </r>
  </si>
  <si>
    <r>
      <t>有機溶剤　　　</t>
    </r>
    <r>
      <rPr>
        <sz val="8"/>
        <color theme="1"/>
        <rFont val="ＭＳ 明朝"/>
        <family val="1"/>
        <charset val="128"/>
      </rPr>
      <t>（第３種を除く）</t>
    </r>
  </si>
  <si>
    <r>
      <t>指定物３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高度引火性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区分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2)</t>
    </r>
  </si>
  <si>
    <r>
      <t>眼刺激性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区分</t>
    </r>
    <r>
      <rPr>
        <sz val="10.5"/>
        <color theme="1"/>
        <rFont val="Century"/>
        <family val="1"/>
      </rPr>
      <t>1)</t>
    </r>
  </si>
  <si>
    <t>　眼鏡等の使用</t>
  </si>
  <si>
    <r>
      <t>皮膚腐食性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区分</t>
    </r>
    <r>
      <rPr>
        <sz val="10.5"/>
        <color theme="1"/>
        <rFont val="Century"/>
        <family val="1"/>
      </rPr>
      <t>1)</t>
    </r>
  </si>
  <si>
    <t>　手袋等の使用</t>
  </si>
  <si>
    <t>区分</t>
  </si>
  <si>
    <t>指定範囲</t>
  </si>
  <si>
    <t>規定量</t>
  </si>
  <si>
    <t>リスクアセスメントの実施</t>
  </si>
  <si>
    <t>教員等による確認</t>
  </si>
  <si>
    <r>
      <t>指定物</t>
    </r>
    <r>
      <rPr>
        <sz val="10.5"/>
        <color theme="1"/>
        <rFont val="Century"/>
        <family val="1"/>
      </rPr>
      <t>1</t>
    </r>
  </si>
  <si>
    <r>
      <t>発がん性物質</t>
    </r>
    <r>
      <rPr>
        <sz val="9"/>
        <color theme="1"/>
        <rFont val="Century"/>
        <family val="1"/>
      </rPr>
      <t xml:space="preserve">, </t>
    </r>
  </si>
  <si>
    <t>安衛法特定化学物質</t>
  </si>
  <si>
    <t>第一類第二類</t>
  </si>
  <si>
    <r>
      <t>10 g</t>
    </r>
    <r>
      <rPr>
        <sz val="10.5"/>
        <color theme="1"/>
        <rFont val="ＭＳ 明朝"/>
        <family val="1"/>
        <charset val="128"/>
      </rPr>
      <t>以上</t>
    </r>
  </si>
  <si>
    <t>実施する</t>
  </si>
  <si>
    <t>確認を行う</t>
  </si>
  <si>
    <r>
      <t>複数確認が望ましい</t>
    </r>
    <r>
      <rPr>
        <sz val="10.5"/>
        <color theme="1"/>
        <rFont val="Century"/>
        <family val="1"/>
      </rPr>
      <t xml:space="preserve"> </t>
    </r>
    <r>
      <rPr>
        <b/>
        <vertAlign val="superscript"/>
        <sz val="10.5"/>
        <color theme="1"/>
        <rFont val="Century"/>
        <family val="1"/>
      </rPr>
      <t>*</t>
    </r>
  </si>
  <si>
    <r>
      <t>10 g</t>
    </r>
    <r>
      <rPr>
        <sz val="10.5"/>
        <color theme="1"/>
        <rFont val="ＭＳ 明朝"/>
        <family val="1"/>
        <charset val="128"/>
      </rPr>
      <t>未満</t>
    </r>
  </si>
  <si>
    <r>
      <t>1 g</t>
    </r>
    <r>
      <rPr>
        <sz val="10.5"/>
        <color theme="1"/>
        <rFont val="ＭＳ 明朝"/>
        <family val="1"/>
        <charset val="128"/>
      </rPr>
      <t>未満</t>
    </r>
  </si>
  <si>
    <r>
      <t>指定物</t>
    </r>
    <r>
      <rPr>
        <sz val="10.5"/>
        <color theme="1"/>
        <rFont val="Century"/>
        <family val="1"/>
      </rPr>
      <t>2</t>
    </r>
  </si>
  <si>
    <r>
      <t>自然発火性物質</t>
    </r>
    <r>
      <rPr>
        <sz val="9"/>
        <color theme="1"/>
        <rFont val="Century"/>
        <family val="1"/>
      </rPr>
      <t xml:space="preserve">, </t>
    </r>
  </si>
  <si>
    <r>
      <t>水反応性物質</t>
    </r>
    <r>
      <rPr>
        <sz val="9"/>
        <color theme="1"/>
        <rFont val="Century"/>
        <family val="1"/>
      </rPr>
      <t xml:space="preserve">, </t>
    </r>
  </si>
  <si>
    <r>
      <t>自己反応性物質</t>
    </r>
    <r>
      <rPr>
        <sz val="9"/>
        <color theme="1"/>
        <rFont val="Century"/>
        <family val="1"/>
      </rPr>
      <t xml:space="preserve">, </t>
    </r>
  </si>
  <si>
    <t>有機過酸化物</t>
  </si>
  <si>
    <r>
      <t xml:space="preserve">1 g </t>
    </r>
    <r>
      <rPr>
        <sz val="10.5"/>
        <color theme="1"/>
        <rFont val="ＭＳ 明朝"/>
        <family val="1"/>
        <charset val="128"/>
      </rPr>
      <t>以上</t>
    </r>
  </si>
  <si>
    <r>
      <t xml:space="preserve">1 g </t>
    </r>
    <r>
      <rPr>
        <sz val="10.5"/>
        <color theme="1"/>
        <rFont val="ＭＳ 明朝"/>
        <family val="1"/>
        <charset val="128"/>
      </rPr>
      <t>未満</t>
    </r>
  </si>
  <si>
    <t>確認が望ましい</t>
  </si>
  <si>
    <t>指定物３</t>
  </si>
  <si>
    <r>
      <t>(</t>
    </r>
    <r>
      <rPr>
        <sz val="8"/>
        <color theme="1"/>
        <rFont val="ＭＳ 明朝"/>
        <family val="1"/>
        <charset val="128"/>
      </rPr>
      <t>高度引火性物質</t>
    </r>
    <r>
      <rPr>
        <sz val="8"/>
        <color theme="1"/>
        <rFont val="Century"/>
        <family val="1"/>
      </rPr>
      <t>)</t>
    </r>
  </si>
  <si>
    <r>
      <t>GHS</t>
    </r>
    <r>
      <rPr>
        <sz val="9"/>
        <color theme="1"/>
        <rFont val="ＭＳ 明朝"/>
        <family val="1"/>
        <charset val="128"/>
      </rPr>
      <t>引火性</t>
    </r>
  </si>
  <si>
    <r>
      <t>区分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>・</t>
    </r>
    <r>
      <rPr>
        <sz val="9"/>
        <color theme="1"/>
        <rFont val="Century"/>
        <family val="1"/>
      </rPr>
      <t>2</t>
    </r>
  </si>
  <si>
    <r>
      <t xml:space="preserve">100 g </t>
    </r>
    <r>
      <rPr>
        <sz val="10.5"/>
        <color theme="1"/>
        <rFont val="ＭＳ 明朝"/>
        <family val="1"/>
        <charset val="128"/>
      </rPr>
      <t>以上</t>
    </r>
  </si>
  <si>
    <r>
      <t>100 g</t>
    </r>
    <r>
      <rPr>
        <sz val="10.5"/>
        <color theme="1"/>
        <rFont val="ＭＳ 明朝"/>
        <family val="1"/>
        <charset val="128"/>
      </rPr>
      <t>未満</t>
    </r>
  </si>
  <si>
    <t>その他</t>
  </si>
  <si>
    <t>指定物１・２・３</t>
  </si>
  <si>
    <t>以外のもの</t>
  </si>
  <si>
    <r>
      <t xml:space="preserve">10 g </t>
    </r>
    <r>
      <rPr>
        <sz val="10.5"/>
        <color theme="1"/>
        <rFont val="ＭＳ 明朝"/>
        <family val="1"/>
        <charset val="128"/>
      </rPr>
      <t>以上</t>
    </r>
  </si>
  <si>
    <t>リスクアセスメント実施結果の教員等による確認</t>
    <rPh sb="9" eb="11">
      <t>ジッシ</t>
    </rPh>
    <rPh sb="11" eb="13">
      <t>ケッカ</t>
    </rPh>
    <rPh sb="14" eb="16">
      <t>キョウイン</t>
    </rPh>
    <rPh sb="16" eb="17">
      <t>ナド</t>
    </rPh>
    <rPh sb="20" eb="22">
      <t>カクニン</t>
    </rPh>
    <phoneticPr fontId="6"/>
  </si>
  <si>
    <t>　事前教育の受講義務</t>
    <phoneticPr fontId="6"/>
  </si>
  <si>
    <t>　火薬取締法に従った取扱い</t>
    <rPh sb="7" eb="8">
      <t>シタガ</t>
    </rPh>
    <rPh sb="10" eb="12">
      <t>トリアツカ</t>
    </rPh>
    <phoneticPr fontId="6"/>
  </si>
  <si>
    <t>爆発物・火薬類</t>
    <rPh sb="4" eb="6">
      <t>カヤク</t>
    </rPh>
    <rPh sb="6" eb="7">
      <t>ルイ</t>
    </rPh>
    <phoneticPr fontId="6"/>
  </si>
  <si>
    <t>該当事項とリスク低減対策</t>
    <rPh sb="0" eb="2">
      <t>ガイトウ</t>
    </rPh>
    <rPh sb="2" eb="4">
      <t>ジコウ</t>
    </rPh>
    <rPh sb="8" eb="10">
      <t>テイゲン</t>
    </rPh>
    <rPh sb="10" eb="12">
      <t>タイサク</t>
    </rPh>
    <phoneticPr fontId="6"/>
  </si>
  <si>
    <t>低減対策</t>
    <rPh sb="0" eb="2">
      <t>テイゲン</t>
    </rPh>
    <phoneticPr fontId="6"/>
  </si>
  <si>
    <t>「通常使用」条件とは、　</t>
    <rPh sb="1" eb="3">
      <t>ツウジョウ</t>
    </rPh>
    <rPh sb="3" eb="5">
      <t>シヨウ</t>
    </rPh>
    <rPh sb="6" eb="8">
      <t>ジョウケン</t>
    </rPh>
    <phoneticPr fontId="6"/>
  </si>
  <si>
    <t>「使用量 1kg未満」・「作業着等の汚染なし」・「接触頻度 12.5%未満」　を満たす作業条件を指す。</t>
  </si>
  <si>
    <t>「通常外」条件とは、　</t>
    <rPh sb="1" eb="3">
      <t>ツウジョウ</t>
    </rPh>
    <rPh sb="3" eb="4">
      <t>ガイ</t>
    </rPh>
    <rPh sb="5" eb="7">
      <t>ジョウケン</t>
    </rPh>
    <phoneticPr fontId="6"/>
  </si>
  <si>
    <t>「通常使用条件」以外の作業条件</t>
    <phoneticPr fontId="6"/>
  </si>
  <si>
    <t>　　（大学における作業の多くは、通常使用条件に含まれるとの想定による）</t>
    <rPh sb="3" eb="5">
      <t>ダイガク</t>
    </rPh>
    <rPh sb="9" eb="11">
      <t>サギョウ</t>
    </rPh>
    <rPh sb="12" eb="13">
      <t>オオ</t>
    </rPh>
    <rPh sb="16" eb="18">
      <t>ツウジョウ</t>
    </rPh>
    <rPh sb="18" eb="20">
      <t>シヨウ</t>
    </rPh>
    <rPh sb="20" eb="22">
      <t>ジョウケン</t>
    </rPh>
    <rPh sb="23" eb="24">
      <t>フク</t>
    </rPh>
    <rPh sb="29" eb="31">
      <t>ソウテイ</t>
    </rPh>
    <phoneticPr fontId="6"/>
  </si>
  <si>
    <r>
      <t>指定物１</t>
    </r>
    <r>
      <rPr>
        <sz val="10.5"/>
        <color theme="1"/>
        <rFont val="Century"/>
        <family val="1"/>
      </rPr>
      <t xml:space="preserve">   </t>
    </r>
    <r>
      <rPr>
        <sz val="10.5"/>
        <color theme="1"/>
        <rFont val="ＭＳ 明朝"/>
        <family val="1"/>
        <charset val="128"/>
      </rPr>
      <t>急性毒性・発がん性</t>
    </r>
    <phoneticPr fontId="6"/>
  </si>
  <si>
    <r>
      <t>指定物２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爆発発火性関連</t>
    </r>
    <rPh sb="8" eb="11">
      <t>ハッカセイ</t>
    </rPh>
    <rPh sb="11" eb="13">
      <t>カンレン</t>
    </rPh>
    <phoneticPr fontId="6"/>
  </si>
  <si>
    <r>
      <rPr>
        <sz val="8"/>
        <color theme="1"/>
        <rFont val="ＭＳ Ｐ明朝"/>
        <family val="1"/>
        <charset val="128"/>
      </rPr>
      <t>特に高い物質</t>
    </r>
    <r>
      <rPr>
        <sz val="8"/>
        <color theme="1"/>
        <rFont val="Century"/>
        <family val="1"/>
      </rPr>
      <t>)</t>
    </r>
    <phoneticPr fontId="6"/>
  </si>
  <si>
    <t>(物理・化学的危険性が</t>
    <phoneticPr fontId="6"/>
  </si>
  <si>
    <t>(健康有害性が</t>
  </si>
  <si>
    <t>高い物質)</t>
  </si>
  <si>
    <r>
      <t>急性毒性の高い物質および</t>
    </r>
    <r>
      <rPr>
        <sz val="9"/>
        <color theme="1"/>
        <rFont val="Century"/>
        <family val="1"/>
      </rPr>
      <t xml:space="preserve">, </t>
    </r>
    <phoneticPr fontId="6"/>
  </si>
  <si>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化学関連の研究に</t>
    </r>
    <phoneticPr fontId="6"/>
  </si>
  <si>
    <t>　　使用しない場合)</t>
    <phoneticPr fontId="6"/>
  </si>
  <si>
    <t>　　使用する場合)</t>
    <phoneticPr fontId="6"/>
  </si>
  <si>
    <r>
      <t xml:space="preserve">* </t>
    </r>
    <r>
      <rPr>
        <sz val="10.5"/>
        <color theme="1"/>
        <rFont val="ＭＳ 明朝"/>
        <family val="1"/>
        <charset val="128"/>
      </rPr>
      <t>使用量・反応条件等から危険性または有毒性が大きい場合には、実施すること。</t>
    </r>
  </si>
  <si>
    <t>防火・消火器等の確認</t>
    <phoneticPr fontId="6"/>
  </si>
  <si>
    <r>
      <t>リスクレベル（RL)４以上</t>
    </r>
    <r>
      <rPr>
        <sz val="10.5"/>
        <color theme="1"/>
        <rFont val="Century"/>
        <family val="1"/>
      </rPr>
      <t xml:space="preserve">
</t>
    </r>
    <r>
      <rPr>
        <sz val="9"/>
        <color theme="1"/>
        <rFont val="ＭＳ Ｐ明朝"/>
        <family val="1"/>
        <charset val="128"/>
      </rPr>
      <t>（作業環境・状況を考慮した有害性が</t>
    </r>
    <r>
      <rPr>
        <sz val="9"/>
        <color theme="1"/>
        <rFont val="ＭＳ 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>RL）</t>
    </r>
    <rPh sb="17" eb="19">
      <t>カンキョウ</t>
    </rPh>
    <rPh sb="23" eb="25">
      <t>コウリョ</t>
    </rPh>
    <phoneticPr fontId="6"/>
  </si>
  <si>
    <t>　作業環境・使用条件の変更
（使用量を減らす・
　　 作業時間の短縮等）
または、ドラフト等の使用</t>
    <rPh sb="1" eb="3">
      <t>サギョウ</t>
    </rPh>
    <rPh sb="3" eb="5">
      <t>カンキョウ</t>
    </rPh>
    <rPh sb="6" eb="8">
      <t>シヨウ</t>
    </rPh>
    <rPh sb="8" eb="10">
      <t>ジョウケン</t>
    </rPh>
    <rPh sb="11" eb="13">
      <t>ヘンコウ</t>
    </rPh>
    <rPh sb="15" eb="17">
      <t>シヨウ</t>
    </rPh>
    <rPh sb="17" eb="18">
      <t>リョウ</t>
    </rPh>
    <rPh sb="19" eb="20">
      <t>ヘ</t>
    </rPh>
    <rPh sb="27" eb="29">
      <t>サギョウ</t>
    </rPh>
    <rPh sb="29" eb="31">
      <t>ジカン</t>
    </rPh>
    <rPh sb="32" eb="34">
      <t>タンシュク</t>
    </rPh>
    <rPh sb="34" eb="35">
      <t>ナド</t>
    </rPh>
    <rPh sb="45" eb="46">
      <t>ナド</t>
    </rPh>
    <rPh sb="47" eb="49">
      <t>シヨウ</t>
    </rPh>
    <phoneticPr fontId="6"/>
  </si>
  <si>
    <t>危険性CRA値 無</t>
    <rPh sb="0" eb="3">
      <t>キケンセイ</t>
    </rPh>
    <rPh sb="6" eb="7">
      <t>アタイ</t>
    </rPh>
    <rPh sb="8" eb="9">
      <t>ナシ</t>
    </rPh>
    <phoneticPr fontId="6"/>
  </si>
  <si>
    <t>Acute toxicity</t>
    <phoneticPr fontId="6"/>
  </si>
  <si>
    <t>Hazardous to the</t>
    <phoneticPr fontId="6"/>
  </si>
  <si>
    <t>aquatic environment</t>
    <phoneticPr fontId="6"/>
  </si>
  <si>
    <t>Flammable</t>
    <phoneticPr fontId="6"/>
  </si>
  <si>
    <t>Respiratory sensitizer</t>
    <phoneticPr fontId="6"/>
  </si>
  <si>
    <t>Carcinogen</t>
    <phoneticPr fontId="6"/>
  </si>
  <si>
    <t>○ Explosives</t>
    <phoneticPr fontId="6"/>
  </si>
  <si>
    <t>Hazard Class</t>
    <phoneticPr fontId="6"/>
  </si>
  <si>
    <t>Physical Hazards</t>
    <phoneticPr fontId="6"/>
  </si>
  <si>
    <t>Category</t>
    <phoneticPr fontId="6"/>
  </si>
  <si>
    <t>Explosives・</t>
    <phoneticPr fontId="6"/>
  </si>
  <si>
    <t>Self-reactives</t>
    <phoneticPr fontId="6"/>
  </si>
  <si>
    <t>Health Hazards</t>
    <phoneticPr fontId="6"/>
  </si>
  <si>
    <t>　　　（Oral）</t>
    <phoneticPr fontId="6"/>
  </si>
  <si>
    <t>　　　（Dermal）</t>
    <phoneticPr fontId="6"/>
  </si>
  <si>
    <t>● Acute toxicity</t>
    <phoneticPr fontId="6"/>
  </si>
  <si>
    <t>● Carcinogenicity</t>
    <phoneticPr fontId="6"/>
  </si>
  <si>
    <t>Industrial Safety and Health Law</t>
    <phoneticPr fontId="6"/>
  </si>
  <si>
    <t>Poisonous and Deleterious Substances Control Law</t>
    <phoneticPr fontId="6"/>
  </si>
  <si>
    <t xml:space="preserve"> ● Poisnous substance・Deletrious substance</t>
    <phoneticPr fontId="6"/>
  </si>
  <si>
    <t>Group</t>
    <phoneticPr fontId="6"/>
  </si>
  <si>
    <t>Chemical・Amount</t>
    <phoneticPr fontId="6"/>
  </si>
  <si>
    <t>Category “1” is more hazardous than “2 or 3”.</t>
    <phoneticPr fontId="6"/>
  </si>
  <si>
    <t>than “2 or 3” or ”B”.</t>
    <phoneticPr fontId="6"/>
  </si>
  <si>
    <t>(Example of category)</t>
    <phoneticPr fontId="6"/>
  </si>
  <si>
    <t>Combustible・</t>
    <phoneticPr fontId="6"/>
  </si>
  <si>
    <t>Oxidizing</t>
    <phoneticPr fontId="6"/>
  </si>
  <si>
    <r>
      <t xml:space="preserve"> B. </t>
    </r>
    <r>
      <rPr>
        <b/>
        <sz val="10"/>
        <color theme="3"/>
        <rFont val="ＭＳ Ｐ明朝"/>
        <family val="1"/>
        <charset val="128"/>
      </rPr>
      <t>Boiling point</t>
    </r>
    <r>
      <rPr>
        <sz val="9"/>
        <color theme="3"/>
        <rFont val="Century"/>
        <family val="1"/>
      </rPr>
      <t/>
    </r>
    <phoneticPr fontId="6"/>
  </si>
  <si>
    <t>Category “1” or “A” are more dangerous</t>
    <phoneticPr fontId="6"/>
  </si>
  <si>
    <t>Class</t>
    <phoneticPr fontId="6"/>
  </si>
  <si>
    <t xml:space="preserve">(Ex.) 1 </t>
    <phoneticPr fontId="6"/>
  </si>
  <si>
    <t xml:space="preserve">(Ex.) 1.1 </t>
    <phoneticPr fontId="6"/>
  </si>
  <si>
    <t xml:space="preserve">(Ex.) A </t>
    <phoneticPr fontId="6"/>
  </si>
  <si>
    <t>　　　（Inhalation）Dust and mists</t>
    <phoneticPr fontId="6"/>
  </si>
  <si>
    <t>(narcotic effects）</t>
    <phoneticPr fontId="6"/>
  </si>
  <si>
    <t xml:space="preserve">(Ex.) A </t>
    <phoneticPr fontId="6"/>
  </si>
  <si>
    <t>Eye damage</t>
    <phoneticPr fontId="6"/>
  </si>
  <si>
    <t>Skin corrosibvity</t>
    <phoneticPr fontId="6"/>
  </si>
  <si>
    <t>Applicable</t>
    <phoneticPr fontId="6"/>
  </si>
  <si>
    <r>
      <t xml:space="preserve"> A. </t>
    </r>
    <r>
      <rPr>
        <b/>
        <sz val="10"/>
        <color theme="3"/>
        <rFont val="ＭＳ Ｐ明朝"/>
        <family val="1"/>
        <charset val="128"/>
      </rPr>
      <t>Daily usage</t>
    </r>
    <phoneticPr fontId="6"/>
  </si>
  <si>
    <t>Working environment</t>
    <phoneticPr fontId="6"/>
  </si>
  <si>
    <r>
      <rPr>
        <b/>
        <sz val="10"/>
        <color theme="3"/>
        <rFont val="Century"/>
        <family val="1"/>
      </rPr>
      <t>1</t>
    </r>
    <r>
      <rPr>
        <sz val="10"/>
        <color theme="3"/>
        <rFont val="Century"/>
        <family val="1"/>
      </rPr>
      <t xml:space="preserve"> : less than 1 kg(L) ,   </t>
    </r>
    <r>
      <rPr>
        <b/>
        <sz val="10"/>
        <color theme="3"/>
        <rFont val="Century"/>
        <family val="1"/>
      </rPr>
      <t>2</t>
    </r>
    <r>
      <rPr>
        <sz val="10"/>
        <color theme="3"/>
        <rFont val="Century"/>
        <family val="1"/>
      </rPr>
      <t xml:space="preserve"> : more than 1 kg(L) ,   </t>
    </r>
    <r>
      <rPr>
        <b/>
        <sz val="10"/>
        <color theme="3"/>
        <rFont val="Century"/>
        <family val="1"/>
      </rPr>
      <t>3</t>
    </r>
    <r>
      <rPr>
        <sz val="10"/>
        <color theme="3"/>
        <rFont val="Century"/>
        <family val="1"/>
      </rPr>
      <t xml:space="preserve"> :more than  1 ton(kL) </t>
    </r>
    <phoneticPr fontId="6"/>
  </si>
  <si>
    <r>
      <t xml:space="preserve">( </t>
    </r>
    <r>
      <rPr>
        <b/>
        <sz val="10"/>
        <color theme="3"/>
        <rFont val="Century"/>
        <family val="1"/>
      </rPr>
      <t>4</t>
    </r>
    <r>
      <rPr>
        <sz val="10"/>
        <color theme="3"/>
        <rFont val="Century"/>
        <family val="1"/>
      </rPr>
      <t xml:space="preserve"> : less than 1 g(mL) ,   </t>
    </r>
    <r>
      <rPr>
        <b/>
        <sz val="10"/>
        <color theme="3"/>
        <rFont val="Century"/>
        <family val="1"/>
      </rPr>
      <t>5</t>
    </r>
    <r>
      <rPr>
        <sz val="10"/>
        <color theme="3"/>
        <rFont val="Century"/>
        <family val="1"/>
      </rPr>
      <t xml:space="preserve"> : less than 10 g(mL) ,   </t>
    </r>
    <r>
      <rPr>
        <b/>
        <sz val="10"/>
        <color theme="3"/>
        <rFont val="Century"/>
        <family val="1"/>
      </rPr>
      <t>6</t>
    </r>
    <r>
      <rPr>
        <sz val="10"/>
        <color theme="3"/>
        <rFont val="Century"/>
        <family val="1"/>
      </rPr>
      <t xml:space="preserve"> : less than 100 g(mL) </t>
    </r>
    <r>
      <rPr>
        <sz val="10"/>
        <color theme="3"/>
        <rFont val="Century"/>
        <family val="1"/>
      </rPr>
      <t xml:space="preserve">  )</t>
    </r>
    <phoneticPr fontId="6"/>
  </si>
  <si>
    <t>Usage and environment</t>
    <phoneticPr fontId="6"/>
  </si>
  <si>
    <t>　　（Hazard of chemical）</t>
    <phoneticPr fontId="6"/>
  </si>
  <si>
    <r>
      <rPr>
        <sz val="10"/>
        <color theme="3"/>
        <rFont val="ＭＳ Ｐ明朝"/>
        <family val="1"/>
        <charset val="128"/>
      </rPr>
      <t xml:space="preserve"> </t>
    </r>
    <r>
      <rPr>
        <sz val="10"/>
        <color theme="3"/>
        <rFont val="Century"/>
        <family val="1"/>
      </rPr>
      <t xml:space="preserve">C. </t>
    </r>
    <r>
      <rPr>
        <sz val="10"/>
        <color theme="3"/>
        <rFont val="ＭＳ Ｐ明朝"/>
        <family val="1"/>
        <charset val="128"/>
      </rPr>
      <t>Contamination of work clothes</t>
    </r>
    <phoneticPr fontId="6"/>
  </si>
  <si>
    <r>
      <t xml:space="preserve"> </t>
    </r>
    <r>
      <rPr>
        <b/>
        <sz val="10"/>
        <color theme="3"/>
        <rFont val="Century"/>
        <family val="1"/>
      </rPr>
      <t>0</t>
    </r>
    <r>
      <rPr>
        <sz val="10"/>
        <color theme="3"/>
        <rFont val="Century"/>
        <family val="1"/>
      </rPr>
      <t>: Non-c</t>
    </r>
    <r>
      <rPr>
        <sz val="10"/>
        <color theme="3"/>
        <rFont val="ＭＳ Ｐ明朝"/>
        <family val="1"/>
        <charset val="128"/>
      </rPr>
      <t>ontaminated</t>
    </r>
    <r>
      <rPr>
        <sz val="10"/>
        <color theme="3"/>
        <rFont val="Century"/>
        <family val="1"/>
      </rPr>
      <t xml:space="preserve">  </t>
    </r>
    <r>
      <rPr>
        <b/>
        <sz val="10"/>
        <color theme="3"/>
        <rFont val="Century"/>
        <family val="1"/>
      </rPr>
      <t>1</t>
    </r>
    <r>
      <rPr>
        <sz val="10"/>
        <color theme="3"/>
        <rFont val="Century"/>
        <family val="1"/>
      </rPr>
      <t>: Contaminated</t>
    </r>
    <phoneticPr fontId="6"/>
  </si>
  <si>
    <t>(Respiratory system)</t>
    <phoneticPr fontId="6"/>
  </si>
  <si>
    <t>(Respiratory system)</t>
    <phoneticPr fontId="6"/>
  </si>
  <si>
    <r>
      <t xml:space="preserve"> </t>
    </r>
    <r>
      <rPr>
        <sz val="10"/>
        <color theme="3"/>
        <rFont val="ＭＳ Ｐ明朝"/>
        <family val="1"/>
        <charset val="128"/>
      </rPr>
      <t>　　</t>
    </r>
    <r>
      <rPr>
        <b/>
        <sz val="10"/>
        <color theme="3"/>
        <rFont val="Century"/>
        <family val="1"/>
      </rPr>
      <t>2</t>
    </r>
    <r>
      <rPr>
        <sz val="10"/>
        <color theme="3"/>
        <rFont val="Century"/>
        <family val="1"/>
      </rPr>
      <t>: 50</t>
    </r>
    <r>
      <rPr>
        <sz val="10"/>
        <color theme="3"/>
        <rFont val="ＭＳ Ｐ明朝"/>
        <family val="1"/>
        <charset val="128"/>
      </rPr>
      <t>℃～</t>
    </r>
    <r>
      <rPr>
        <sz val="10"/>
        <color theme="3"/>
        <rFont val="Century"/>
        <family val="1"/>
      </rPr>
      <t>150</t>
    </r>
    <r>
      <rPr>
        <sz val="10"/>
        <color theme="3"/>
        <rFont val="ＭＳ Ｐ明朝"/>
        <family val="1"/>
        <charset val="128"/>
      </rPr>
      <t>℃</t>
    </r>
    <r>
      <rPr>
        <sz val="10"/>
        <color theme="3"/>
        <rFont val="Century"/>
        <family val="1"/>
      </rPr>
      <t xml:space="preserve"> </t>
    </r>
    <r>
      <rPr>
        <sz val="10"/>
        <color theme="3"/>
        <rFont val="ＭＳ Ｐ明朝"/>
        <family val="1"/>
        <charset val="128"/>
      </rPr>
      <t>（Granular）</t>
    </r>
    <phoneticPr fontId="6"/>
  </si>
  <si>
    <r>
      <t xml:space="preserve"> </t>
    </r>
    <r>
      <rPr>
        <sz val="10"/>
        <color theme="3"/>
        <rFont val="ＭＳ Ｐ明朝"/>
        <family val="1"/>
        <charset val="128"/>
      </rPr>
      <t>　　</t>
    </r>
    <r>
      <rPr>
        <b/>
        <sz val="10"/>
        <color theme="3"/>
        <rFont val="Century"/>
        <family val="1"/>
      </rPr>
      <t>1</t>
    </r>
    <r>
      <rPr>
        <sz val="10"/>
        <color theme="3"/>
        <rFont val="Century"/>
        <family val="1"/>
      </rPr>
      <t>: Over 150</t>
    </r>
    <r>
      <rPr>
        <sz val="10"/>
        <color theme="3"/>
        <rFont val="ＭＳ Ｐ明朝"/>
        <family val="1"/>
        <charset val="128"/>
      </rPr>
      <t>℃</t>
    </r>
    <r>
      <rPr>
        <sz val="10"/>
        <color theme="3"/>
        <rFont val="Century"/>
        <family val="1"/>
      </rPr>
      <t xml:space="preserve">  </t>
    </r>
    <r>
      <rPr>
        <sz val="10"/>
        <color theme="3"/>
        <rFont val="ＭＳ Ｐ明朝"/>
        <family val="1"/>
        <charset val="128"/>
      </rPr>
      <t>（Pellet）</t>
    </r>
    <phoneticPr fontId="6"/>
  </si>
  <si>
    <r>
      <t xml:space="preserve"> </t>
    </r>
    <r>
      <rPr>
        <sz val="10"/>
        <color theme="3"/>
        <rFont val="ＭＳ Ｐ明朝"/>
        <family val="1"/>
        <charset val="128"/>
      </rPr>
      <t>Working time ・frequency level</t>
    </r>
    <r>
      <rPr>
        <sz val="10"/>
        <color theme="3"/>
        <rFont val="Century"/>
        <family val="1"/>
      </rPr>
      <t xml:space="preserve"> (FL)</t>
    </r>
    <phoneticPr fontId="6"/>
  </si>
  <si>
    <r>
      <rPr>
        <sz val="10"/>
        <color theme="3"/>
        <rFont val="ＭＳ Ｐ明朝"/>
        <family val="1"/>
        <charset val="128"/>
      </rPr>
      <t>Hazard Level</t>
    </r>
    <r>
      <rPr>
        <sz val="10"/>
        <color theme="3"/>
        <rFont val="Century"/>
        <family val="1"/>
      </rPr>
      <t xml:space="preserve"> (HL)</t>
    </r>
    <phoneticPr fontId="6"/>
  </si>
  <si>
    <t>Class 1 specified chemical</t>
    <phoneticPr fontId="6"/>
  </si>
  <si>
    <t>Class 2 specified chmical</t>
    <phoneticPr fontId="6"/>
  </si>
  <si>
    <t>Contact frequency</t>
    <phoneticPr fontId="6"/>
  </si>
  <si>
    <r>
      <t xml:space="preserve">　　 i: less than </t>
    </r>
    <r>
      <rPr>
        <sz val="10"/>
        <color theme="3"/>
        <rFont val="ＭＳ Ｐ明朝"/>
        <family val="1"/>
        <charset val="128"/>
      </rPr>
      <t xml:space="preserve">12.5%  </t>
    </r>
    <r>
      <rPr>
        <b/>
        <sz val="10"/>
        <color theme="3"/>
        <rFont val="ＭＳ Ｐ明朝"/>
        <family val="1"/>
        <charset val="128"/>
      </rPr>
      <t xml:space="preserve"> ii</t>
    </r>
    <r>
      <rPr>
        <sz val="10"/>
        <color theme="3"/>
        <rFont val="ＭＳ Ｐ明朝"/>
        <family val="1"/>
        <charset val="128"/>
      </rPr>
      <t xml:space="preserve">: 25%  </t>
    </r>
    <r>
      <rPr>
        <b/>
        <sz val="10"/>
        <color theme="3"/>
        <rFont val="ＭＳ Ｐ明朝"/>
        <family val="1"/>
        <charset val="128"/>
      </rPr>
      <t xml:space="preserve"> iii:</t>
    </r>
    <r>
      <rPr>
        <sz val="10"/>
        <color theme="3"/>
        <rFont val="ＭＳ Ｐ明朝"/>
        <family val="1"/>
        <charset val="128"/>
      </rPr>
      <t xml:space="preserve"> 50%</t>
    </r>
    <phoneticPr fontId="6"/>
  </si>
  <si>
    <r>
      <t xml:space="preserve">  </t>
    </r>
    <r>
      <rPr>
        <sz val="10"/>
        <color theme="3" tint="-0.249977111117893"/>
        <rFont val="ＭＳ Ｐ明朝"/>
        <family val="1"/>
        <charset val="128"/>
      </rPr>
      <t>　</t>
    </r>
    <r>
      <rPr>
        <b/>
        <sz val="10"/>
        <color theme="3" tint="-0.249977111117893"/>
        <rFont val="Century"/>
        <family val="1"/>
      </rPr>
      <t>iv</t>
    </r>
    <r>
      <rPr>
        <sz val="10"/>
        <color theme="3" tint="-0.249977111117893"/>
        <rFont val="Century"/>
        <family val="1"/>
      </rPr>
      <t xml:space="preserve">: 87.5%   </t>
    </r>
    <r>
      <rPr>
        <b/>
        <sz val="10"/>
        <color theme="3" tint="-0.249977111117893"/>
        <rFont val="Century"/>
        <family val="1"/>
      </rPr>
      <t>v</t>
    </r>
    <r>
      <rPr>
        <sz val="10"/>
        <color theme="3" tint="-0.249977111117893"/>
        <rFont val="Century"/>
        <family val="1"/>
      </rPr>
      <t>: more than 87.5</t>
    </r>
    <r>
      <rPr>
        <sz val="10"/>
        <color theme="3" tint="-0.249977111117893"/>
        <rFont val="ＭＳ Ｐ明朝"/>
        <family val="1"/>
        <charset val="128"/>
      </rPr>
      <t>％　　</t>
    </r>
    <r>
      <rPr>
        <sz val="10"/>
        <color theme="3" tint="-0.249977111117893"/>
        <rFont val="Century"/>
        <family val="1"/>
      </rPr>
      <t xml:space="preserve"> </t>
    </r>
    <r>
      <rPr>
        <sz val="10"/>
        <color theme="3"/>
        <rFont val="ＭＳ Ｐ明朝"/>
        <family val="1"/>
        <charset val="128"/>
      </rPr>
      <t/>
    </r>
    <phoneticPr fontId="6"/>
  </si>
  <si>
    <t>　　　　　（Other organs）</t>
    <phoneticPr fontId="6"/>
  </si>
  <si>
    <t xml:space="preserve">　RL “5” is the most hazardous. </t>
    <phoneticPr fontId="6"/>
  </si>
  <si>
    <t>GHS pictgram</t>
    <phoneticPr fontId="6"/>
  </si>
  <si>
    <t>Evaluation value</t>
    <phoneticPr fontId="6"/>
  </si>
  <si>
    <t>Draft</t>
    <phoneticPr fontId="6"/>
  </si>
  <si>
    <t>Pre-training for handling</t>
    <phoneticPr fontId="6"/>
  </si>
  <si>
    <t>Confirmation of location of extinguisher</t>
    <phoneticPr fontId="6"/>
  </si>
  <si>
    <t xml:space="preserve">Eye protection </t>
    <phoneticPr fontId="6"/>
  </si>
  <si>
    <t>Skin protection</t>
    <phoneticPr fontId="6"/>
  </si>
  <si>
    <t>Check list</t>
    <phoneticPr fontId="6"/>
  </si>
  <si>
    <t>Comment</t>
    <phoneticPr fontId="6"/>
  </si>
  <si>
    <r>
      <t>　Hazard level　</t>
    </r>
    <r>
      <rPr>
        <sz val="11"/>
        <color theme="1"/>
        <rFont val="Arial"/>
        <family val="2"/>
      </rPr>
      <t>HL =</t>
    </r>
    <phoneticPr fontId="6"/>
  </si>
  <si>
    <t xml:space="preserve">       Risk level  RL =</t>
    <phoneticPr fontId="6"/>
  </si>
  <si>
    <t>（Details）　</t>
    <phoneticPr fontId="6"/>
  </si>
  <si>
    <t>Others</t>
    <phoneticPr fontId="6"/>
  </si>
  <si>
    <t>Indication of designated chemical</t>
    <phoneticPr fontId="6"/>
  </si>
  <si>
    <t>Class 1 designated chemical</t>
    <phoneticPr fontId="6"/>
  </si>
  <si>
    <t>Class 2 designated chemical</t>
    <phoneticPr fontId="6"/>
  </si>
  <si>
    <t>Applicable laws　      　    Fire Service Law</t>
    <phoneticPr fontId="6"/>
  </si>
  <si>
    <t xml:space="preserve">Hazardous material   　 </t>
    <phoneticPr fontId="6"/>
  </si>
  <si>
    <t xml:space="preserve">Class 3 designated chemical (Special flammable ) </t>
    <phoneticPr fontId="6"/>
  </si>
  <si>
    <r>
      <t xml:space="preserve"> </t>
    </r>
    <r>
      <rPr>
        <sz val="10"/>
        <color theme="3"/>
        <rFont val="ＭＳ Ｐ明朝"/>
        <family val="1"/>
        <charset val="128"/>
      </rPr>
      <t xml:space="preserve">　 </t>
    </r>
    <r>
      <rPr>
        <b/>
        <sz val="10"/>
        <color theme="3"/>
        <rFont val="Century"/>
        <family val="1"/>
      </rPr>
      <t>3</t>
    </r>
    <r>
      <rPr>
        <sz val="10"/>
        <color theme="3"/>
        <rFont val="Century"/>
        <family val="1"/>
      </rPr>
      <t>: Less than 50</t>
    </r>
    <r>
      <rPr>
        <sz val="10"/>
        <color theme="3"/>
        <rFont val="ＭＳ Ｐ明朝"/>
        <family val="1"/>
        <charset val="128"/>
      </rPr>
      <t>℃</t>
    </r>
    <r>
      <rPr>
        <sz val="10"/>
        <color theme="3"/>
        <rFont val="Century"/>
        <family val="1"/>
      </rPr>
      <t xml:space="preserve"> </t>
    </r>
    <r>
      <rPr>
        <sz val="10"/>
        <color theme="3"/>
        <rFont val="ＭＳ Ｐ明朝"/>
        <family val="1"/>
        <charset val="128"/>
      </rPr>
      <t>（Light powder）</t>
    </r>
    <phoneticPr fontId="6"/>
  </si>
  <si>
    <t>Fire Service Law</t>
    <phoneticPr fontId="6"/>
  </si>
  <si>
    <t>1st Group</t>
    <phoneticPr fontId="6"/>
  </si>
  <si>
    <t>Oxidizers (Solid)</t>
    <phoneticPr fontId="6"/>
  </si>
  <si>
    <t>2nd Group</t>
    <phoneticPr fontId="6"/>
  </si>
  <si>
    <t>Combustible solid</t>
    <phoneticPr fontId="6"/>
  </si>
  <si>
    <t>3rd Group</t>
    <phoneticPr fontId="6"/>
  </si>
  <si>
    <t>4th Group</t>
    <phoneticPr fontId="6"/>
  </si>
  <si>
    <t>Flammable liquid</t>
    <phoneticPr fontId="6"/>
  </si>
  <si>
    <t>5th Group</t>
    <phoneticPr fontId="6"/>
  </si>
  <si>
    <t>6th Group</t>
    <phoneticPr fontId="6"/>
  </si>
  <si>
    <t>Oxidizer (Solid)</t>
    <phoneticPr fontId="6"/>
  </si>
  <si>
    <t>Pyrophoric liquid or solid/Water-reactive chemicals</t>
    <phoneticPr fontId="6"/>
  </si>
  <si>
    <t>Class 1 oxidizaing solids</t>
    <phoneticPr fontId="6"/>
  </si>
  <si>
    <t>Class 2 oxidizaing solids</t>
    <phoneticPr fontId="6"/>
  </si>
  <si>
    <t>Class 3 oxidizaing solids</t>
    <phoneticPr fontId="6"/>
  </si>
  <si>
    <t>Class 1 combustible solids</t>
    <phoneticPr fontId="6"/>
  </si>
  <si>
    <t>Class 2 combustible solids</t>
    <phoneticPr fontId="6"/>
  </si>
  <si>
    <t>Flammable solids</t>
    <phoneticPr fontId="6"/>
  </si>
  <si>
    <t>Phosphorus sulphide</t>
    <phoneticPr fontId="6"/>
  </si>
  <si>
    <t>Red phosphorus</t>
    <phoneticPr fontId="6"/>
  </si>
  <si>
    <t>Sulphur</t>
    <phoneticPr fontId="6"/>
  </si>
  <si>
    <t>Iron powders</t>
    <phoneticPr fontId="6"/>
  </si>
  <si>
    <t>Class 1 spontaneously combustible materials and water prohibitive materials</t>
    <phoneticPr fontId="6"/>
  </si>
  <si>
    <t>Class 2 spontaneously combustible materials and water prohibitive materials</t>
    <phoneticPr fontId="6"/>
  </si>
  <si>
    <t>Class 3 spontaneously combustible materials and water prohibitive materials</t>
    <phoneticPr fontId="6"/>
  </si>
  <si>
    <t>Potasium</t>
    <phoneticPr fontId="6"/>
  </si>
  <si>
    <t>Sodium</t>
    <phoneticPr fontId="6"/>
  </si>
  <si>
    <t>Alkyl aluminium</t>
    <phoneticPr fontId="6"/>
  </si>
  <si>
    <t>Alkyl lithium</t>
    <phoneticPr fontId="6"/>
  </si>
  <si>
    <t>Yellow phosphorus</t>
    <phoneticPr fontId="6"/>
  </si>
  <si>
    <t>Special flammable materials</t>
    <phoneticPr fontId="6"/>
  </si>
  <si>
    <t>Class 1 petroleums Non-water soluble liquid</t>
    <phoneticPr fontId="6"/>
  </si>
  <si>
    <t>Class 1 petroleums Water soluble liquid</t>
    <phoneticPr fontId="6"/>
  </si>
  <si>
    <t>Alcohols</t>
    <phoneticPr fontId="6"/>
  </si>
  <si>
    <t>Class 2 petroleums Non-water soluble liquid</t>
    <phoneticPr fontId="6"/>
  </si>
  <si>
    <t>Class 2 petroleums Water soluble liquid</t>
    <phoneticPr fontId="6"/>
  </si>
  <si>
    <t>Class 3 petroleums Non-water soluble liquid</t>
    <phoneticPr fontId="6"/>
  </si>
  <si>
    <t>Class 3 petroleums Water soluble liquid</t>
    <phoneticPr fontId="6"/>
  </si>
  <si>
    <t>Class 4 petroleums</t>
    <phoneticPr fontId="6"/>
  </si>
  <si>
    <t>Animal fats and vegetable oils</t>
    <phoneticPr fontId="6"/>
  </si>
  <si>
    <t>Class 1 self-reactive materials</t>
    <phoneticPr fontId="6"/>
  </si>
  <si>
    <t>Class 2 self-reactive materials</t>
    <phoneticPr fontId="6"/>
  </si>
  <si>
    <t>Oxidizing liquid</t>
    <phoneticPr fontId="6"/>
  </si>
  <si>
    <t>Poisonous and Deleterious Substances Control Law</t>
    <phoneticPr fontId="6"/>
  </si>
  <si>
    <t>Deleterious Substance</t>
    <phoneticPr fontId="6"/>
  </si>
  <si>
    <t>Poisonous Substance</t>
    <phoneticPr fontId="6"/>
  </si>
  <si>
    <t>Industrial Safety and Health Law</t>
    <phoneticPr fontId="6"/>
  </si>
  <si>
    <t>Specified Chemical Substances</t>
    <phoneticPr fontId="6"/>
  </si>
  <si>
    <t>Organic Solvents</t>
    <phoneticPr fontId="6"/>
  </si>
  <si>
    <t xml:space="preserve">Type 1 </t>
    <phoneticPr fontId="6"/>
  </si>
  <si>
    <t>Type 2</t>
    <phoneticPr fontId="6"/>
  </si>
  <si>
    <t>Type 3</t>
    <phoneticPr fontId="6"/>
  </si>
  <si>
    <t>Class 1</t>
    <phoneticPr fontId="6"/>
  </si>
  <si>
    <t>Class 2</t>
    <phoneticPr fontId="6"/>
  </si>
  <si>
    <t>Class 3</t>
    <phoneticPr fontId="6"/>
  </si>
  <si>
    <t>　　 (In the case of solid, select the state of the material)</t>
    <phoneticPr fontId="6"/>
  </si>
  <si>
    <t>Subgroup</t>
    <phoneticPr fontId="6"/>
  </si>
  <si>
    <t>Mesaures for lowering risk</t>
    <phoneticPr fontId="6"/>
  </si>
  <si>
    <t>Oxidation</t>
    <phoneticPr fontId="6"/>
  </si>
  <si>
    <t>Oxidation</t>
    <phoneticPr fontId="6"/>
  </si>
  <si>
    <t>Obligation of use of draft</t>
    <phoneticPr fontId="6"/>
  </si>
  <si>
    <t>Carcinogenicity</t>
    <phoneticPr fontId="6"/>
  </si>
  <si>
    <t>Skin Corrosion／Irritation</t>
    <phoneticPr fontId="6"/>
  </si>
  <si>
    <t>Serious Eye Damage／Eye Irritation</t>
    <phoneticPr fontId="6"/>
  </si>
  <si>
    <t>Respiratory Sensitization</t>
    <phoneticPr fontId="6"/>
  </si>
  <si>
    <t>（Oral）</t>
    <phoneticPr fontId="6"/>
  </si>
  <si>
    <t>（Dermal）</t>
    <phoneticPr fontId="6"/>
  </si>
  <si>
    <t>（Inhalation）</t>
    <phoneticPr fontId="6"/>
  </si>
  <si>
    <t>Explosives（爆発物）</t>
    <rPh sb="11" eb="14">
      <t>バクハツブツ</t>
    </rPh>
    <phoneticPr fontId="6"/>
  </si>
  <si>
    <t>Flammable</t>
    <phoneticPr fontId="6"/>
  </si>
  <si>
    <t>Self-reactiveness</t>
    <phoneticPr fontId="6"/>
  </si>
  <si>
    <t>Pyrohoric Liquids</t>
    <phoneticPr fontId="6"/>
  </si>
  <si>
    <t>Pyrohoric Solids</t>
    <phoneticPr fontId="6"/>
  </si>
  <si>
    <t>● Substances and mixtures which, in contact with water, emit flammable gasses</t>
    <phoneticPr fontId="6"/>
  </si>
  <si>
    <t>Substances and mixtures which, in contact with water, emit flammable gasses</t>
    <phoneticPr fontId="6"/>
  </si>
  <si>
    <t>Organic Peroxides</t>
    <phoneticPr fontId="6"/>
  </si>
  <si>
    <t>○Skin Sensitization</t>
    <phoneticPr fontId="6"/>
  </si>
  <si>
    <t>Skin Sensitization</t>
    <phoneticPr fontId="6"/>
  </si>
  <si>
    <t>Germ Cell Mutagenicity</t>
    <phoneticPr fontId="6"/>
  </si>
  <si>
    <t>Reproductive Toxicity</t>
    <phoneticPr fontId="6"/>
  </si>
  <si>
    <t>Poisonous and Deleterious Substances</t>
    <phoneticPr fontId="6"/>
  </si>
  <si>
    <t>Specific Target Organ Toxicity-</t>
    <phoneticPr fontId="6"/>
  </si>
  <si>
    <t>Sigle Exposure</t>
    <phoneticPr fontId="6"/>
  </si>
  <si>
    <t>（Respiratory System）</t>
    <phoneticPr fontId="6"/>
  </si>
  <si>
    <r>
      <rPr>
        <sz val="8"/>
        <color theme="1"/>
        <rFont val="ＭＳ Ｐゴシック"/>
        <family val="3"/>
        <charset val="128"/>
      </rPr>
      <t>Chemical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HL=</t>
    </r>
    <phoneticPr fontId="6"/>
  </si>
  <si>
    <r>
      <rPr>
        <sz val="8"/>
        <color theme="1"/>
        <rFont val="ＭＳ Ｐゴシック"/>
        <family val="3"/>
        <charset val="128"/>
      </rPr>
      <t xml:space="preserve">Environmental </t>
    </r>
    <r>
      <rPr>
        <sz val="10"/>
        <color theme="1"/>
        <rFont val="Arial"/>
        <family val="2"/>
      </rPr>
      <t>RL=</t>
    </r>
    <phoneticPr fontId="6"/>
  </si>
  <si>
    <t>SDS
Confirmation</t>
    <phoneticPr fontId="6"/>
  </si>
  <si>
    <t xml:space="preserve"> Specific Target Organ Toxicity</t>
    <phoneticPr fontId="6"/>
  </si>
  <si>
    <t>Aspiration Hazard</t>
    <phoneticPr fontId="6"/>
  </si>
  <si>
    <t>（Others）</t>
    <phoneticPr fontId="6"/>
  </si>
  <si>
    <t>Repeated Exposure</t>
    <phoneticPr fontId="6"/>
  </si>
  <si>
    <t>Confirmation of SDS</t>
    <phoneticPr fontId="6"/>
  </si>
  <si>
    <t>Done・not done</t>
    <phoneticPr fontId="6"/>
  </si>
  <si>
    <t xml:space="preserve">Aware of toxicity </t>
    <phoneticPr fontId="6"/>
  </si>
  <si>
    <t xml:space="preserve">  Corrosive</t>
    <phoneticPr fontId="6"/>
  </si>
  <si>
    <t>Detail evaluation</t>
    <phoneticPr fontId="6"/>
  </si>
  <si>
    <t>65</t>
    <phoneticPr fontId="6"/>
  </si>
  <si>
    <t>Confirming person</t>
    <phoneticPr fontId="6"/>
  </si>
  <si>
    <t>　(Supervisors）</t>
    <phoneticPr fontId="6"/>
  </si>
  <si>
    <t>Date</t>
    <phoneticPr fontId="6"/>
  </si>
  <si>
    <t>Name</t>
    <phoneticPr fontId="6"/>
  </si>
  <si>
    <t>Evaluation sheet for Risk Assessment</t>
    <phoneticPr fontId="6"/>
  </si>
  <si>
    <t>Enter the yellow part</t>
    <phoneticPr fontId="6"/>
  </si>
  <si>
    <t>Specify subgroup only for Group 4</t>
    <phoneticPr fontId="6"/>
  </si>
  <si>
    <t>Conditions for designated chemical</t>
    <phoneticPr fontId="6"/>
  </si>
  <si>
    <t>If catetory is entered, explosives</t>
    <phoneticPr fontId="6"/>
  </si>
  <si>
    <t>In the case of category 1 or 2, highly flammable</t>
    <phoneticPr fontId="6"/>
  </si>
  <si>
    <t xml:space="preserve">If category is entered, class2 </t>
    <phoneticPr fontId="6"/>
  </si>
  <si>
    <t xml:space="preserve">If category is entered, class2 </t>
    <phoneticPr fontId="6"/>
  </si>
  <si>
    <t xml:space="preserve">If category is entered, class2 </t>
    <phoneticPr fontId="6"/>
  </si>
  <si>
    <t>In the case of category 1 or 2,  class 1</t>
    <phoneticPr fontId="6"/>
  </si>
  <si>
    <t>In the case of category 1 or 2,  class 1</t>
    <phoneticPr fontId="6"/>
  </si>
  <si>
    <t>In the case of category 1, skin protection</t>
    <phoneticPr fontId="6"/>
  </si>
  <si>
    <t>In the case of category 1AB or 2,  class 1</t>
    <phoneticPr fontId="6"/>
  </si>
  <si>
    <t>Conditions for designated chemical</t>
    <phoneticPr fontId="6"/>
  </si>
  <si>
    <t>S designation</t>
    <phoneticPr fontId="6"/>
  </si>
  <si>
    <t>In the case of category 1, eye protection</t>
    <phoneticPr fontId="6"/>
  </si>
  <si>
    <t>In the case of posinous substance, class 1</t>
    <phoneticPr fontId="6"/>
  </si>
  <si>
    <t>In the case of specified substnace, class 1</t>
    <phoneticPr fontId="6"/>
  </si>
  <si>
    <t>(Except for type 3 substances）</t>
    <phoneticPr fontId="6"/>
  </si>
  <si>
    <t>When RL is more than 4, you must take masures.</t>
    <phoneticPr fontId="6"/>
  </si>
  <si>
    <t>Enter HL value in the column of check list</t>
    <phoneticPr fontId="6"/>
  </si>
  <si>
    <r>
      <rPr>
        <sz val="8"/>
        <color theme="1"/>
        <rFont val="ＭＳ Ｐゴシック"/>
        <family val="3"/>
        <charset val="128"/>
      </rPr>
      <t>Chemical</t>
    </r>
    <r>
      <rPr>
        <sz val="8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HL=</t>
    </r>
    <phoneticPr fontId="6"/>
  </si>
  <si>
    <r>
      <rPr>
        <sz val="10"/>
        <color theme="1"/>
        <rFont val="ＭＳ Ｐゴシック"/>
        <family val="3"/>
        <charset val="128"/>
      </rPr>
      <t xml:space="preserve">Environmental </t>
    </r>
    <r>
      <rPr>
        <sz val="10"/>
        <color theme="1"/>
        <rFont val="Arial"/>
        <family val="2"/>
      </rPr>
      <t>RL=</t>
    </r>
    <phoneticPr fontId="6"/>
  </si>
  <si>
    <t>Confirmation by faculty</t>
    <phoneticPr fontId="6"/>
  </si>
  <si>
    <t>(For non-experiments）</t>
    <phoneticPr fontId="6"/>
  </si>
  <si>
    <t>For experiments</t>
    <phoneticPr fontId="6"/>
  </si>
  <si>
    <t>For non-experiments</t>
    <phoneticPr fontId="6"/>
  </si>
  <si>
    <t>Specific poison</t>
    <phoneticPr fontId="6"/>
  </si>
  <si>
    <t>Unknown</t>
    <phoneticPr fontId="6"/>
  </si>
  <si>
    <t>Not applicable</t>
    <phoneticPr fontId="6"/>
  </si>
  <si>
    <t>Unknown</t>
    <phoneticPr fontId="6"/>
  </si>
  <si>
    <t>Not applicable</t>
    <phoneticPr fontId="6"/>
  </si>
  <si>
    <t>Confirmation by supervisors</t>
    <phoneticPr fontId="6"/>
  </si>
  <si>
    <t>Confirmation is required</t>
    <phoneticPr fontId="6"/>
  </si>
  <si>
    <t xml:space="preserve">Confirmation is recommended </t>
    <phoneticPr fontId="6"/>
  </si>
  <si>
    <t>Confirmation is not necessary</t>
    <phoneticPr fontId="6"/>
  </si>
  <si>
    <t>honjoh（honjoh@agr.kyushu-u.ac.jp)</t>
    <phoneticPr fontId="1"/>
  </si>
  <si>
    <t>Fac. Agr., Kyushu Univ.</t>
    <phoneticPr fontId="1"/>
  </si>
  <si>
    <t>● Flammable liquids</t>
    <phoneticPr fontId="6"/>
  </si>
  <si>
    <t>○ Flammable solids</t>
    <phoneticPr fontId="6"/>
  </si>
  <si>
    <t>● Self-reactive substances and mixtures</t>
    <phoneticPr fontId="6"/>
  </si>
  <si>
    <t>● Pyrophoric liquids</t>
    <phoneticPr fontId="6"/>
  </si>
  <si>
    <t>● Pyrophoric solids</t>
    <phoneticPr fontId="6"/>
  </si>
  <si>
    <t>○ Self-heating substances and mixtures</t>
    <phoneticPr fontId="6"/>
  </si>
  <si>
    <t>○ Oxidizing liquids</t>
    <phoneticPr fontId="6"/>
  </si>
  <si>
    <t>○ Oxidizing solids</t>
    <phoneticPr fontId="6"/>
  </si>
  <si>
    <t>● Organic peroxides</t>
    <phoneticPr fontId="6"/>
  </si>
  <si>
    <t>○ Corrosive to metals</t>
    <phoneticPr fontId="6"/>
  </si>
  <si>
    <t>　　　（Inhalation）Gases and vapours</t>
    <phoneticPr fontId="6"/>
  </si>
  <si>
    <t>● Skin corrosion/Irritation</t>
    <phoneticPr fontId="6"/>
  </si>
  <si>
    <t>● Serious eye damage/Eye irritation</t>
    <phoneticPr fontId="6"/>
  </si>
  <si>
    <t>○ Respiratory sensitization</t>
    <phoneticPr fontId="6"/>
  </si>
  <si>
    <t>○ Skin sensitization</t>
    <phoneticPr fontId="6"/>
  </si>
  <si>
    <t>○ Germ cell mutagenicity</t>
    <phoneticPr fontId="6"/>
  </si>
  <si>
    <t>○ Reproductive toxicity</t>
    <phoneticPr fontId="6"/>
  </si>
  <si>
    <t>○ Specific target organ toxicity-Sigle exposure</t>
    <phoneticPr fontId="6"/>
  </si>
  <si>
    <t>　　　　　（Respiratory system）</t>
    <phoneticPr fontId="6"/>
  </si>
  <si>
    <t>○ Specific target organ toxicity-Repeated exposure</t>
    <phoneticPr fontId="6"/>
  </si>
  <si>
    <t>○ Aspiration hazard</t>
    <phoneticPr fontId="6"/>
  </si>
  <si>
    <t xml:space="preserve"> ○ Organic solvents</t>
    <phoneticPr fontId="6"/>
  </si>
  <si>
    <t xml:space="preserve"> ● Specified chemical substances</t>
    <phoneticPr fontId="6"/>
  </si>
  <si>
    <t>Risk ｌevel（RL)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</si>
</sst>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1">
    <font>
      <sz val="11"/>
      <color theme="1"/>
      <name val="Yu Gothic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Yu Gothic"/>
      <family val="3"/>
      <charset val="128"/>
      <scheme val="minor"/>
    </font>
    <font>
      <sz val="11"/>
      <color rgb="FF00B0F0"/>
      <name val="Yu Gothic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0"/>
      <color theme="1"/>
      <name val="Arial"/>
      <family val="2"/>
    </font>
    <font>
      <sz val="20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1"/>
      <color theme="3" tint="0.79998168889431442"/>
      <name val="Yu Gothic"/>
      <family val="2"/>
      <charset val="128"/>
      <scheme val="minor"/>
    </font>
    <font>
      <sz val="10"/>
      <color theme="1"/>
      <name val="Times New Roman"/>
      <family val="1"/>
    </font>
    <font>
      <sz val="8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7"/>
      <color theme="1"/>
      <name val="Yu Gothic"/>
      <family val="3"/>
      <charset val="128"/>
      <scheme val="minor"/>
    </font>
    <font>
      <b/>
      <sz val="10"/>
      <color theme="1"/>
      <name val="Times New Roman"/>
      <family val="1"/>
    </font>
    <font>
      <sz val="7"/>
      <color theme="1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theme="3"/>
      <name val="Yu Gothic"/>
      <family val="3"/>
      <charset val="128"/>
      <scheme val="minor"/>
    </font>
    <font>
      <sz val="10"/>
      <color theme="3"/>
      <name val="Century"/>
      <family val="1"/>
    </font>
    <font>
      <sz val="10"/>
      <color theme="3"/>
      <name val="ＭＳ Ｐ明朝"/>
      <family val="1"/>
      <charset val="128"/>
    </font>
    <font>
      <sz val="10"/>
      <color theme="3"/>
      <name val="Arial"/>
      <family val="2"/>
    </font>
    <font>
      <sz val="9"/>
      <color theme="3"/>
      <name val="Century"/>
      <family val="1"/>
    </font>
    <font>
      <sz val="9"/>
      <color theme="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Times New Roman"/>
      <family val="1"/>
    </font>
    <font>
      <b/>
      <sz val="10"/>
      <color theme="3"/>
      <name val="Century"/>
      <family val="1"/>
    </font>
    <font>
      <b/>
      <sz val="10"/>
      <color theme="3"/>
      <name val="ＭＳ Ｐ明朝"/>
      <family val="1"/>
      <charset val="128"/>
    </font>
    <font>
      <b/>
      <vertAlign val="superscript"/>
      <sz val="10"/>
      <color theme="3"/>
      <name val="Century"/>
      <family val="1"/>
    </font>
    <font>
      <b/>
      <sz val="10"/>
      <color theme="3"/>
      <name val="ＭＳ Ｐゴシック"/>
      <family val="3"/>
      <charset val="128"/>
    </font>
    <font>
      <sz val="10"/>
      <color theme="4"/>
      <name val="Yu Gothic"/>
      <family val="2"/>
      <charset val="128"/>
      <scheme val="minor"/>
    </font>
    <font>
      <b/>
      <sz val="14"/>
      <color theme="4"/>
      <name val="Yu Gothic"/>
      <family val="3"/>
      <charset val="128"/>
      <scheme val="minor"/>
    </font>
    <font>
      <b/>
      <sz val="10"/>
      <color theme="4"/>
      <name val="Yu Gothic"/>
      <family val="3"/>
      <charset val="128"/>
      <scheme val="minor"/>
    </font>
    <font>
      <sz val="10"/>
      <color theme="4"/>
      <name val="Yu Gothic"/>
      <family val="3"/>
      <charset val="128"/>
      <scheme val="minor"/>
    </font>
    <font>
      <sz val="8"/>
      <color theme="4"/>
      <name val="Yu Gothic"/>
      <family val="2"/>
      <charset val="128"/>
      <scheme val="minor"/>
    </font>
    <font>
      <sz val="8"/>
      <color theme="4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sz val="10"/>
      <color theme="4"/>
      <name val="Arial"/>
      <family val="2"/>
    </font>
    <font>
      <sz val="8"/>
      <color theme="4"/>
      <name val="Yu Gothic"/>
      <family val="3"/>
      <charset val="128"/>
      <scheme val="minor"/>
    </font>
    <font>
      <sz val="7"/>
      <color theme="4"/>
      <name val="Yu Gothic"/>
      <family val="2"/>
      <charset val="128"/>
      <scheme val="minor"/>
    </font>
    <font>
      <sz val="9"/>
      <color theme="1"/>
      <name val="Century"/>
      <family val="1"/>
    </font>
    <font>
      <sz val="9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8"/>
      <color rgb="FFFF0000"/>
      <name val="Yu Gothic"/>
      <family val="3"/>
      <charset val="128"/>
      <scheme val="minor"/>
    </font>
    <font>
      <sz val="11"/>
      <color theme="4" tint="0.39997558519241921"/>
      <name val="Yu Gothic"/>
      <family val="2"/>
      <charset val="128"/>
      <scheme val="minor"/>
    </font>
    <font>
      <sz val="11"/>
      <color theme="4" tint="0.79998168889431442"/>
      <name val="Yu Gothic"/>
      <family val="2"/>
      <charset val="128"/>
      <scheme val="minor"/>
    </font>
    <font>
      <sz val="11"/>
      <color theme="4" tint="0.79998168889431442"/>
      <name val="Yu Gothic"/>
      <family val="3"/>
      <charset val="128"/>
      <scheme val="minor"/>
    </font>
    <font>
      <sz val="11"/>
      <color theme="4" tint="0.59999389629810485"/>
      <name val="Yu Gothic"/>
      <family val="2"/>
      <charset val="128"/>
      <scheme val="minor"/>
    </font>
    <font>
      <sz val="11"/>
      <color theme="4" tint="0.59999389629810485"/>
      <name val="Yu Gothic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color rgb="FFFFFF00"/>
      <name val="ＭＳ Ｐ明朝"/>
      <family val="1"/>
      <charset val="128"/>
    </font>
    <font>
      <sz val="14"/>
      <color rgb="FFFFFF99"/>
      <name val="ＭＳ Ｐ明朝"/>
      <family val="1"/>
      <charset val="128"/>
    </font>
    <font>
      <b/>
      <sz val="12"/>
      <color theme="3"/>
      <name val="ＭＳ Ｐ明朝"/>
      <family val="1"/>
      <charset val="128"/>
    </font>
    <font>
      <b/>
      <sz val="10"/>
      <color theme="3"/>
      <name val="Arial"/>
      <family val="2"/>
    </font>
    <font>
      <b/>
      <sz val="10.5"/>
      <color rgb="FFFF5353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10"/>
      <color theme="3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4"/>
      <color rgb="FFFF7C80"/>
      <name val="ＭＳ Ｐ明朝"/>
      <family val="1"/>
      <charset val="128"/>
    </font>
    <font>
      <sz val="11"/>
      <color rgb="FFFF7C80"/>
      <name val="ＭＳ Ｐ明朝"/>
      <family val="1"/>
      <charset val="128"/>
    </font>
    <font>
      <sz val="14"/>
      <color rgb="FF99FF99"/>
      <name val="ＭＳ Ｐ明朝"/>
      <family val="1"/>
      <charset val="128"/>
    </font>
    <font>
      <sz val="11"/>
      <color rgb="FF99FF99"/>
      <name val="ＭＳ Ｐ明朝"/>
      <family val="1"/>
      <charset val="128"/>
    </font>
    <font>
      <b/>
      <sz val="10"/>
      <color rgb="FFFF000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1"/>
      <color theme="3" tint="0.59999389629810485"/>
      <name val="Yu Gothic"/>
      <family val="2"/>
      <charset val="128"/>
      <scheme val="minor"/>
    </font>
    <font>
      <sz val="11"/>
      <color theme="3" tint="0.59999389629810485"/>
      <name val="Yu Gothic"/>
      <family val="3"/>
      <charset val="128"/>
      <scheme val="minor"/>
    </font>
    <font>
      <sz val="42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theme="3" tint="0.39997558519241921"/>
      <name val="Yu Gothic"/>
      <family val="2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3" tint="-0.249977111117893"/>
      <name val="Century"/>
      <family val="1"/>
    </font>
    <font>
      <sz val="10"/>
      <color theme="3" tint="-0.249977111117893"/>
      <name val="ＭＳ Ｐ明朝"/>
      <family val="1"/>
      <charset val="128"/>
    </font>
    <font>
      <b/>
      <sz val="10"/>
      <color theme="3" tint="-0.249977111117893"/>
      <name val="Century"/>
      <family val="1"/>
    </font>
    <font>
      <sz val="8"/>
      <color theme="1"/>
      <name val="Arial"/>
      <family val="2"/>
    </font>
    <font>
      <sz val="10"/>
      <color rgb="FFC00000"/>
      <name val="Yu Gothic"/>
      <family val="3"/>
      <charset val="128"/>
      <scheme val="minor"/>
    </font>
    <font>
      <sz val="10"/>
      <color rgb="FFC00000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14"/>
      <color theme="9" tint="0.39997558519241921"/>
      <name val="ＭＳ Ｐ明朝"/>
      <family val="1"/>
      <charset val="128"/>
    </font>
    <font>
      <sz val="10"/>
      <color theme="5"/>
      <name val="Yu Gothic"/>
      <family val="3"/>
      <charset val="128"/>
      <scheme val="minor"/>
    </font>
    <font>
      <sz val="10"/>
      <color theme="5"/>
      <name val="Yu Gothic"/>
      <family val="2"/>
      <charset val="128"/>
      <scheme val="minor"/>
    </font>
    <font>
      <sz val="11"/>
      <color theme="3"/>
      <name val="Arial"/>
      <family val="2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0.5"/>
      <color theme="1"/>
      <name val="Century"/>
      <family val="1"/>
    </font>
    <font>
      <b/>
      <vertAlign val="superscript"/>
      <sz val="10.5"/>
      <color theme="1"/>
      <name val="Century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5E5E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/>
      <right/>
      <top/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/>
      <diagonal style="dotted">
        <color auto="1"/>
      </diagonal>
    </border>
    <border diagonalDown="1">
      <left/>
      <right style="medium">
        <color auto="1"/>
      </right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/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66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3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8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32" xfId="0" applyNumberFormat="1" applyBorder="1">
      <alignment vertical="center"/>
    </xf>
    <xf numFmtId="0" fontId="0" fillId="0" borderId="4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4" xfId="0" applyBorder="1">
      <alignment vertical="center"/>
    </xf>
    <xf numFmtId="0" fontId="0" fillId="0" borderId="40" xfId="0" applyBorder="1">
      <alignment vertical="center"/>
    </xf>
    <xf numFmtId="0" fontId="0" fillId="3" borderId="7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" xfId="0" applyFill="1" applyBorder="1">
      <alignment vertical="center"/>
    </xf>
    <xf numFmtId="0" fontId="10" fillId="3" borderId="35" xfId="0" applyFont="1" applyFill="1" applyBorder="1">
      <alignment vertical="center"/>
    </xf>
    <xf numFmtId="0" fontId="0" fillId="3" borderId="45" xfId="0" applyFill="1" applyBorder="1">
      <alignment vertical="center"/>
    </xf>
    <xf numFmtId="49" fontId="0" fillId="0" borderId="7" xfId="0" applyNumberFormat="1" applyFill="1" applyBorder="1">
      <alignment vertical="center"/>
    </xf>
    <xf numFmtId="49" fontId="0" fillId="0" borderId="21" xfId="0" applyNumberFormat="1" applyFill="1" applyBorder="1">
      <alignment vertical="center"/>
    </xf>
    <xf numFmtId="49" fontId="0" fillId="0" borderId="32" xfId="0" applyNumberFormat="1" applyFill="1" applyBorder="1">
      <alignment vertical="center"/>
    </xf>
    <xf numFmtId="0" fontId="0" fillId="0" borderId="32" xfId="0" applyBorder="1">
      <alignment vertical="center"/>
    </xf>
    <xf numFmtId="0" fontId="0" fillId="0" borderId="14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justify" vertical="center"/>
    </xf>
    <xf numFmtId="0" fontId="2" fillId="5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5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33" xfId="0" applyFill="1" applyBorder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23" fillId="0" borderId="2" xfId="0" applyFont="1" applyBorder="1">
      <alignment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2" fillId="8" borderId="0" xfId="0" applyFont="1" applyFill="1" applyBorder="1" applyAlignment="1">
      <alignment vertical="center"/>
    </xf>
    <xf numFmtId="0" fontId="17" fillId="8" borderId="10" xfId="0" applyFont="1" applyFill="1" applyBorder="1" applyAlignment="1">
      <alignment horizontal="right" vertical="center"/>
    </xf>
    <xf numFmtId="0" fontId="20" fillId="8" borderId="12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vertical="center"/>
    </xf>
    <xf numFmtId="0" fontId="17" fillId="8" borderId="13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quotePrefix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4" xfId="0" applyFill="1" applyBorder="1">
      <alignment vertical="center"/>
    </xf>
    <xf numFmtId="0" fontId="18" fillId="8" borderId="14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33" xfId="0" applyFill="1" applyBorder="1">
      <alignment vertical="center"/>
    </xf>
    <xf numFmtId="0" fontId="25" fillId="0" borderId="0" xfId="0" applyFont="1" applyAlignment="1">
      <alignment vertical="center"/>
    </xf>
    <xf numFmtId="0" fontId="19" fillId="8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7" fillId="8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12" fillId="5" borderId="0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5" borderId="22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/>
    </xf>
    <xf numFmtId="0" fontId="1" fillId="8" borderId="33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8" borderId="2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right" vertical="center"/>
    </xf>
    <xf numFmtId="0" fontId="1" fillId="8" borderId="22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1" xfId="0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0" fontId="1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justify" vertical="center"/>
    </xf>
    <xf numFmtId="0" fontId="1" fillId="8" borderId="22" xfId="0" applyFont="1" applyFill="1" applyBorder="1" applyAlignment="1">
      <alignment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8" fillId="2" borderId="5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justify" vertical="center"/>
    </xf>
    <xf numFmtId="0" fontId="1" fillId="2" borderId="40" xfId="0" applyFont="1" applyFill="1" applyBorder="1" applyAlignment="1">
      <alignment horizontal="justify" vertical="center"/>
    </xf>
    <xf numFmtId="0" fontId="13" fillId="2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vertical="center"/>
    </xf>
    <xf numFmtId="0" fontId="12" fillId="5" borderId="43" xfId="0" applyFont="1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right" vertical="center"/>
    </xf>
    <xf numFmtId="0" fontId="18" fillId="5" borderId="1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8" borderId="3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0" xfId="0" applyFont="1" applyFill="1">
      <alignment vertical="center"/>
    </xf>
    <xf numFmtId="0" fontId="24" fillId="8" borderId="0" xfId="0" applyFont="1" applyFill="1" applyAlignment="1">
      <alignment vertical="center" wrapText="1"/>
    </xf>
    <xf numFmtId="0" fontId="18" fillId="5" borderId="12" xfId="0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35" fillId="5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25" fillId="5" borderId="14" xfId="0" applyFont="1" applyFill="1" applyBorder="1" applyAlignment="1">
      <alignment horizontal="left" vertical="center"/>
    </xf>
    <xf numFmtId="0" fontId="25" fillId="8" borderId="11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28" fillId="2" borderId="50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43" xfId="0" applyFont="1" applyFill="1" applyBorder="1" applyAlignment="1">
      <alignment vertical="center"/>
    </xf>
    <xf numFmtId="0" fontId="12" fillId="8" borderId="4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vertical="top"/>
    </xf>
    <xf numFmtId="0" fontId="12" fillId="5" borderId="22" xfId="0" applyFont="1" applyFill="1" applyBorder="1" applyAlignment="1">
      <alignment horizontal="left" vertical="center" indent="1"/>
    </xf>
    <xf numFmtId="0" fontId="38" fillId="2" borderId="4" xfId="0" applyFont="1" applyFill="1" applyBorder="1" applyAlignment="1">
      <alignment vertical="center"/>
    </xf>
    <xf numFmtId="0" fontId="39" fillId="8" borderId="22" xfId="0" applyFont="1" applyFill="1" applyBorder="1" applyAlignment="1">
      <alignment horizontal="left" vertical="center"/>
    </xf>
    <xf numFmtId="0" fontId="39" fillId="8" borderId="22" xfId="0" applyFont="1" applyFill="1" applyBorder="1" applyAlignment="1">
      <alignment horizontal="right" vertical="center"/>
    </xf>
    <xf numFmtId="0" fontId="42" fillId="8" borderId="22" xfId="0" applyFont="1" applyFill="1" applyBorder="1" applyAlignment="1">
      <alignment vertical="center"/>
    </xf>
    <xf numFmtId="0" fontId="39" fillId="8" borderId="22" xfId="0" applyFont="1" applyFill="1" applyBorder="1" applyAlignment="1">
      <alignment horizontal="center" vertical="center"/>
    </xf>
    <xf numFmtId="0" fontId="43" fillId="8" borderId="33" xfId="0" applyFont="1" applyFill="1" applyBorder="1" applyAlignment="1">
      <alignment horizontal="right" vertical="center"/>
    </xf>
    <xf numFmtId="0" fontId="40" fillId="2" borderId="5" xfId="0" applyFont="1" applyFill="1" applyBorder="1" applyAlignment="1">
      <alignment vertical="center"/>
    </xf>
    <xf numFmtId="0" fontId="39" fillId="8" borderId="1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right" vertical="center"/>
    </xf>
    <xf numFmtId="0" fontId="41" fillId="8" borderId="1" xfId="0" applyFont="1" applyFill="1" applyBorder="1" applyAlignment="1">
      <alignment horizontal="center" vertical="center"/>
    </xf>
    <xf numFmtId="0" fontId="42" fillId="8" borderId="1" xfId="0" applyFont="1" applyFill="1" applyBorder="1" applyAlignment="1">
      <alignment vertical="center"/>
    </xf>
    <xf numFmtId="0" fontId="39" fillId="8" borderId="1" xfId="0" applyFont="1" applyFill="1" applyBorder="1" applyAlignment="1">
      <alignment horizontal="center" vertical="center"/>
    </xf>
    <xf numFmtId="0" fontId="40" fillId="8" borderId="2" xfId="0" applyFont="1" applyFill="1" applyBorder="1" applyAlignment="1">
      <alignment horizontal="left" vertical="center"/>
    </xf>
    <xf numFmtId="0" fontId="39" fillId="8" borderId="22" xfId="0" applyFont="1" applyFill="1" applyBorder="1" applyAlignment="1">
      <alignment vertical="center"/>
    </xf>
    <xf numFmtId="0" fontId="40" fillId="8" borderId="33" xfId="0" applyFont="1" applyFill="1" applyBorder="1" applyAlignment="1">
      <alignment horizontal="left" vertical="center"/>
    </xf>
    <xf numFmtId="0" fontId="39" fillId="8" borderId="14" xfId="0" applyFont="1" applyFill="1" applyBorder="1" applyAlignment="1">
      <alignment horizontal="left" vertical="center"/>
    </xf>
    <xf numFmtId="0" fontId="39" fillId="8" borderId="14" xfId="0" applyFont="1" applyFill="1" applyBorder="1" applyAlignment="1">
      <alignment horizontal="right" vertical="center"/>
    </xf>
    <xf numFmtId="0" fontId="41" fillId="8" borderId="14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vertical="center"/>
    </xf>
    <xf numFmtId="0" fontId="39" fillId="8" borderId="14" xfId="0" applyFont="1" applyFill="1" applyBorder="1" applyAlignment="1">
      <alignment horizontal="center" vertical="center"/>
    </xf>
    <xf numFmtId="0" fontId="40" fillId="8" borderId="41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right" vertical="center"/>
    </xf>
    <xf numFmtId="0" fontId="39" fillId="8" borderId="0" xfId="0" applyFont="1" applyFill="1" applyBorder="1" applyAlignment="1">
      <alignment vertical="center"/>
    </xf>
    <xf numFmtId="0" fontId="39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horizontal="left" vertical="center"/>
    </xf>
    <xf numFmtId="0" fontId="39" fillId="8" borderId="11" xfId="0" applyFont="1" applyFill="1" applyBorder="1" applyAlignment="1">
      <alignment horizontal="right" vertical="center"/>
    </xf>
    <xf numFmtId="0" fontId="39" fillId="8" borderId="11" xfId="0" applyFont="1" applyFill="1" applyBorder="1" applyAlignment="1">
      <alignment vertical="center"/>
    </xf>
    <xf numFmtId="0" fontId="39" fillId="8" borderId="11" xfId="0" applyFont="1" applyFill="1" applyBorder="1" applyAlignment="1">
      <alignment horizontal="center" vertical="center"/>
    </xf>
    <xf numFmtId="0" fontId="40" fillId="8" borderId="55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vertical="center"/>
    </xf>
    <xf numFmtId="0" fontId="40" fillId="8" borderId="22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 indent="1"/>
    </xf>
    <xf numFmtId="0" fontId="13" fillId="8" borderId="0" xfId="0" applyFont="1" applyFill="1" applyBorder="1" applyAlignment="1">
      <alignment horizontal="left" vertical="center" indent="1"/>
    </xf>
    <xf numFmtId="0" fontId="1" fillId="5" borderId="0" xfId="0" applyFont="1" applyFill="1" applyBorder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 indent="1"/>
    </xf>
    <xf numFmtId="0" fontId="1" fillId="8" borderId="21" xfId="0" applyFont="1" applyFill="1" applyBorder="1" applyAlignment="1">
      <alignment horizontal="left" vertical="center" indent="1"/>
    </xf>
    <xf numFmtId="0" fontId="39" fillId="8" borderId="8" xfId="0" applyFont="1" applyFill="1" applyBorder="1" applyAlignment="1">
      <alignment horizontal="left" vertical="center" indent="1"/>
    </xf>
    <xf numFmtId="0" fontId="40" fillId="8" borderId="8" xfId="0" applyFont="1" applyFill="1" applyBorder="1" applyAlignment="1">
      <alignment horizontal="left" vertical="center" indent="1"/>
    </xf>
    <xf numFmtId="0" fontId="13" fillId="8" borderId="7" xfId="0" applyFont="1" applyFill="1" applyBorder="1" applyAlignment="1">
      <alignment horizontal="left" vertical="center" indent="1"/>
    </xf>
    <xf numFmtId="0" fontId="13" fillId="5" borderId="7" xfId="0" applyFont="1" applyFill="1" applyBorder="1" applyAlignment="1">
      <alignment horizontal="left" vertical="center" indent="1"/>
    </xf>
    <xf numFmtId="0" fontId="37" fillId="8" borderId="17" xfId="0" applyFont="1" applyFill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vertical="center" wrapText="1"/>
    </xf>
    <xf numFmtId="0" fontId="22" fillId="10" borderId="0" xfId="0" applyFont="1" applyFill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0" borderId="7" xfId="0" applyBorder="1">
      <alignment vertical="center"/>
    </xf>
    <xf numFmtId="0" fontId="0" fillId="0" borderId="21" xfId="0" applyFill="1" applyBorder="1">
      <alignment vertical="center"/>
    </xf>
    <xf numFmtId="0" fontId="0" fillId="0" borderId="2" xfId="0" applyFill="1" applyBorder="1">
      <alignment vertical="center"/>
    </xf>
    <xf numFmtId="0" fontId="4" fillId="5" borderId="0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46" fillId="8" borderId="32" xfId="0" applyFont="1" applyFill="1" applyBorder="1" applyAlignment="1">
      <alignment horizontal="left" vertical="center" indent="1"/>
    </xf>
    <xf numFmtId="0" fontId="46" fillId="8" borderId="7" xfId="0" applyFont="1" applyFill="1" applyBorder="1" applyAlignment="1">
      <alignment horizontal="left" vertical="center" indent="1"/>
    </xf>
    <xf numFmtId="0" fontId="47" fillId="8" borderId="22" xfId="0" applyFont="1" applyFill="1" applyBorder="1" applyAlignment="1">
      <alignment vertical="center"/>
    </xf>
    <xf numFmtId="0" fontId="46" fillId="8" borderId="0" xfId="0" applyFont="1" applyFill="1" applyBorder="1" applyAlignment="1">
      <alignment horizontal="center" vertical="top"/>
    </xf>
    <xf numFmtId="0" fontId="27" fillId="8" borderId="0" xfId="0" applyFont="1" applyFill="1" applyAlignment="1">
      <alignment horizontal="left" vertical="center"/>
    </xf>
    <xf numFmtId="0" fontId="45" fillId="8" borderId="0" xfId="0" applyFont="1" applyFill="1" applyAlignment="1">
      <alignment horizontal="center" vertical="center"/>
    </xf>
    <xf numFmtId="0" fontId="50" fillId="5" borderId="0" xfId="0" applyFont="1" applyFill="1" applyAlignment="1">
      <alignment vertical="center"/>
    </xf>
    <xf numFmtId="0" fontId="51" fillId="5" borderId="0" xfId="0" applyFont="1" applyFill="1" applyAlignment="1">
      <alignment horizontal="center" vertical="center"/>
    </xf>
    <xf numFmtId="0" fontId="50" fillId="10" borderId="0" xfId="0" applyFont="1" applyFill="1" applyAlignment="1">
      <alignment vertical="center"/>
    </xf>
    <xf numFmtId="0" fontId="53" fillId="5" borderId="10" xfId="0" applyFont="1" applyFill="1" applyBorder="1" applyAlignment="1">
      <alignment horizontal="center" vertical="center"/>
    </xf>
    <xf numFmtId="0" fontId="53" fillId="5" borderId="11" xfId="0" applyFont="1" applyFill="1" applyBorder="1" applyAlignment="1">
      <alignment horizontal="center" vertical="center"/>
    </xf>
    <xf numFmtId="0" fontId="53" fillId="5" borderId="12" xfId="0" applyFont="1" applyFill="1" applyBorder="1" applyAlignment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53" fillId="5" borderId="13" xfId="0" applyFont="1" applyFill="1" applyBorder="1" applyAlignment="1">
      <alignment horizontal="center" vertical="center"/>
    </xf>
    <xf numFmtId="0" fontId="53" fillId="5" borderId="14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center" vertical="center"/>
    </xf>
    <xf numFmtId="0" fontId="54" fillId="5" borderId="0" xfId="0" applyFont="1" applyFill="1" applyAlignment="1">
      <alignment horizontal="left" vertical="center"/>
    </xf>
    <xf numFmtId="0" fontId="53" fillId="5" borderId="11" xfId="0" applyFont="1" applyFill="1" applyBorder="1" applyAlignment="1">
      <alignment horizontal="right" vertical="center"/>
    </xf>
    <xf numFmtId="0" fontId="52" fillId="5" borderId="12" xfId="0" applyFont="1" applyFill="1" applyBorder="1" applyAlignment="1">
      <alignment horizontal="center" vertical="center"/>
    </xf>
    <xf numFmtId="0" fontId="54" fillId="5" borderId="0" xfId="0" applyFont="1" applyFill="1" applyAlignment="1">
      <alignment vertical="center"/>
    </xf>
    <xf numFmtId="0" fontId="58" fillId="5" borderId="14" xfId="0" applyFont="1" applyFill="1" applyBorder="1" applyAlignment="1">
      <alignment horizontal="left" vertical="center"/>
    </xf>
    <xf numFmtId="0" fontId="52" fillId="5" borderId="15" xfId="0" applyFont="1" applyFill="1" applyBorder="1" applyAlignment="1">
      <alignment horizontal="center" vertical="center"/>
    </xf>
    <xf numFmtId="0" fontId="58" fillId="5" borderId="0" xfId="0" applyFont="1" applyFill="1" applyAlignment="1">
      <alignment vertical="center"/>
    </xf>
    <xf numFmtId="0" fontId="59" fillId="5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12" fillId="8" borderId="0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left" vertical="center"/>
    </xf>
    <xf numFmtId="0" fontId="60" fillId="8" borderId="0" xfId="0" applyFont="1" applyFill="1" applyBorder="1" applyAlignment="1">
      <alignment horizontal="left" vertical="center"/>
    </xf>
    <xf numFmtId="0" fontId="61" fillId="8" borderId="0" xfId="0" applyFont="1" applyFill="1" applyBorder="1" applyAlignment="1">
      <alignment horizontal="center" vertical="center"/>
    </xf>
    <xf numFmtId="0" fontId="62" fillId="8" borderId="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10" fillId="0" borderId="0" xfId="0" applyFo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0" fontId="19" fillId="9" borderId="0" xfId="0" applyFont="1" applyFill="1" applyProtection="1">
      <alignment vertical="center"/>
      <protection locked="0"/>
    </xf>
    <xf numFmtId="0" fontId="41" fillId="4" borderId="22" xfId="0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Border="1" applyAlignment="1" applyProtection="1">
      <alignment horizontal="center" vertical="center"/>
      <protection locked="0"/>
    </xf>
    <xf numFmtId="0" fontId="41" fillId="4" borderId="11" xfId="0" applyFont="1" applyFill="1" applyBorder="1" applyAlignment="1" applyProtection="1">
      <alignment horizontal="center" vertical="center"/>
      <protection locked="0"/>
    </xf>
    <xf numFmtId="49" fontId="49" fillId="9" borderId="3" xfId="0" applyNumberFormat="1" applyFont="1" applyFill="1" applyBorder="1" applyAlignment="1" applyProtection="1">
      <alignment horizontal="left" vertical="center" indent="1"/>
      <protection locked="0"/>
    </xf>
    <xf numFmtId="0" fontId="14" fillId="8" borderId="0" xfId="0" applyFont="1" applyFill="1" applyBorder="1" applyAlignment="1" applyProtection="1">
      <alignment vertical="center"/>
      <protection locked="0"/>
    </xf>
    <xf numFmtId="0" fontId="18" fillId="8" borderId="0" xfId="0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center"/>
    </xf>
    <xf numFmtId="0" fontId="29" fillId="8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8" borderId="0" xfId="0" applyFont="1" applyFill="1" applyAlignment="1">
      <alignment horizontal="left" vertical="center"/>
    </xf>
    <xf numFmtId="0" fontId="54" fillId="5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4" fillId="3" borderId="35" xfId="0" applyFont="1" applyFill="1" applyBorder="1">
      <alignment vertical="center"/>
    </xf>
    <xf numFmtId="0" fontId="0" fillId="6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3" xfId="0" applyFill="1" applyBorder="1">
      <alignment vertical="center"/>
    </xf>
    <xf numFmtId="0" fontId="64" fillId="0" borderId="0" xfId="0" applyFont="1">
      <alignment vertical="center"/>
    </xf>
    <xf numFmtId="0" fontId="0" fillId="0" borderId="12" xfId="0" applyBorder="1">
      <alignment vertical="center"/>
    </xf>
    <xf numFmtId="0" fontId="19" fillId="3" borderId="7" xfId="0" applyFont="1" applyFill="1" applyBorder="1">
      <alignment vertical="center"/>
    </xf>
    <xf numFmtId="0" fontId="65" fillId="0" borderId="7" xfId="0" applyFont="1" applyBorder="1">
      <alignment vertical="center"/>
    </xf>
    <xf numFmtId="0" fontId="66" fillId="0" borderId="7" xfId="0" applyFont="1" applyBorder="1">
      <alignment vertical="center"/>
    </xf>
    <xf numFmtId="0" fontId="67" fillId="0" borderId="0" xfId="0" applyFont="1" applyBorder="1">
      <alignment vertical="center"/>
    </xf>
    <xf numFmtId="0" fontId="68" fillId="0" borderId="0" xfId="0" applyFont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69" fillId="2" borderId="5" xfId="0" applyFont="1" applyFill="1" applyBorder="1" applyAlignment="1">
      <alignment horizontal="center" vertical="top"/>
    </xf>
    <xf numFmtId="0" fontId="21" fillId="7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1" fillId="2" borderId="5" xfId="0" applyFont="1" applyFill="1" applyBorder="1" applyAlignment="1">
      <alignment horizontal="center" vertical="center"/>
    </xf>
    <xf numFmtId="0" fontId="72" fillId="2" borderId="5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vertical="center"/>
    </xf>
    <xf numFmtId="0" fontId="40" fillId="8" borderId="0" xfId="0" applyFont="1" applyFill="1" applyBorder="1" applyAlignment="1">
      <alignment vertical="center"/>
    </xf>
    <xf numFmtId="0" fontId="40" fillId="8" borderId="33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0" fillId="8" borderId="0" xfId="0" applyFont="1" applyFill="1" applyBorder="1" applyAlignment="1">
      <alignment horizontal="right" vertical="center"/>
    </xf>
    <xf numFmtId="0" fontId="0" fillId="8" borderId="3" xfId="0" applyFill="1" applyBorder="1" applyAlignment="1">
      <alignment vertical="center"/>
    </xf>
    <xf numFmtId="0" fontId="21" fillId="7" borderId="5" xfId="0" applyFont="1" applyFill="1" applyBorder="1" applyAlignment="1">
      <alignment horizontal="center" vertical="center"/>
    </xf>
    <xf numFmtId="0" fontId="52" fillId="10" borderId="0" xfId="0" applyFont="1" applyFill="1" applyAlignment="1">
      <alignment horizontal="left" vertical="center" indent="1"/>
    </xf>
    <xf numFmtId="0" fontId="52" fillId="10" borderId="0" xfId="0" applyFont="1" applyFill="1" applyAlignment="1">
      <alignment horizontal="center" vertical="center"/>
    </xf>
    <xf numFmtId="0" fontId="78" fillId="2" borderId="0" xfId="0" applyFont="1" applyFill="1" applyBorder="1" applyAlignment="1">
      <alignment horizontal="center" vertical="center"/>
    </xf>
    <xf numFmtId="0" fontId="70" fillId="8" borderId="0" xfId="0" applyFont="1" applyFill="1" applyBorder="1" applyAlignment="1">
      <alignment horizontal="left" vertical="center"/>
    </xf>
    <xf numFmtId="0" fontId="30" fillId="8" borderId="7" xfId="0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80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6" borderId="0" xfId="0" applyFont="1" applyFill="1" applyBorder="1" applyAlignment="1">
      <alignment horizontal="center" vertical="center"/>
    </xf>
    <xf numFmtId="0" fontId="77" fillId="4" borderId="22" xfId="0" applyFont="1" applyFill="1" applyBorder="1" applyAlignment="1" applyProtection="1">
      <alignment horizontal="center" vertical="center"/>
      <protection locked="0"/>
    </xf>
    <xf numFmtId="0" fontId="81" fillId="2" borderId="5" xfId="0" applyFont="1" applyFill="1" applyBorder="1" applyAlignment="1">
      <alignment horizontal="center" vertical="center"/>
    </xf>
    <xf numFmtId="0" fontId="82" fillId="2" borderId="5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/>
    </xf>
    <xf numFmtId="0" fontId="21" fillId="7" borderId="4" xfId="0" applyFont="1" applyFill="1" applyBorder="1" applyAlignment="1">
      <alignment vertical="center"/>
    </xf>
    <xf numFmtId="0" fontId="21" fillId="7" borderId="5" xfId="0" applyFont="1" applyFill="1" applyBorder="1" applyAlignment="1">
      <alignment vertical="center"/>
    </xf>
    <xf numFmtId="0" fontId="76" fillId="8" borderId="3" xfId="0" applyFont="1" applyFill="1" applyBorder="1" applyAlignment="1">
      <alignment horizontal="left" vertical="center"/>
    </xf>
    <xf numFmtId="0" fontId="85" fillId="0" borderId="35" xfId="0" applyFont="1" applyBorder="1">
      <alignment vertical="center"/>
    </xf>
    <xf numFmtId="0" fontId="86" fillId="0" borderId="45" xfId="0" applyFont="1" applyBorder="1" applyAlignment="1">
      <alignment horizontal="center" vertical="center"/>
    </xf>
    <xf numFmtId="0" fontId="86" fillId="0" borderId="7" xfId="0" applyFont="1" applyBorder="1">
      <alignment vertical="center"/>
    </xf>
    <xf numFmtId="0" fontId="86" fillId="0" borderId="0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21" xfId="0" applyFont="1" applyBorder="1">
      <alignment vertical="center"/>
    </xf>
    <xf numFmtId="0" fontId="86" fillId="0" borderId="1" xfId="0" applyFont="1" applyBorder="1" applyAlignment="1">
      <alignment horizontal="center" vertical="center"/>
    </xf>
    <xf numFmtId="0" fontId="85" fillId="0" borderId="21" xfId="0" applyFont="1" applyBorder="1">
      <alignment vertical="center"/>
    </xf>
    <xf numFmtId="0" fontId="85" fillId="0" borderId="7" xfId="0" applyFont="1" applyBorder="1">
      <alignment vertical="center"/>
    </xf>
    <xf numFmtId="0" fontId="85" fillId="0" borderId="3" xfId="0" applyFont="1" applyBorder="1" applyAlignment="1">
      <alignment horizontal="center" vertical="center"/>
    </xf>
    <xf numFmtId="0" fontId="86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3" xfId="0" applyFill="1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4" fillId="2" borderId="22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22" fillId="8" borderId="0" xfId="0" applyFont="1" applyFill="1" applyBorder="1" applyAlignment="1"/>
    <xf numFmtId="0" fontId="87" fillId="8" borderId="22" xfId="0" applyFont="1" applyFill="1" applyBorder="1" applyAlignment="1">
      <alignment horizontal="center" vertical="center"/>
    </xf>
    <xf numFmtId="0" fontId="87" fillId="8" borderId="22" xfId="0" applyFont="1" applyFill="1" applyBorder="1" applyAlignment="1">
      <alignment vertical="center"/>
    </xf>
    <xf numFmtId="0" fontId="87" fillId="8" borderId="33" xfId="0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Alignment="1">
      <alignment vertical="center"/>
    </xf>
    <xf numFmtId="0" fontId="88" fillId="2" borderId="0" xfId="0" applyFont="1" applyFill="1" applyBorder="1" applyAlignment="1">
      <alignment horizontal="center" vertical="center"/>
    </xf>
    <xf numFmtId="0" fontId="40" fillId="8" borderId="2" xfId="0" applyFont="1" applyFill="1" applyBorder="1" applyAlignment="1">
      <alignment horizontal="right" vertical="center"/>
    </xf>
    <xf numFmtId="0" fontId="18" fillId="8" borderId="0" xfId="0" applyFont="1" applyFill="1" applyBorder="1" applyAlignment="1" applyProtection="1">
      <alignment horizontal="left" vertical="center"/>
      <protection locked="0"/>
    </xf>
    <xf numFmtId="0" fontId="18" fillId="8" borderId="0" xfId="0" applyFont="1" applyFill="1" applyBorder="1" applyAlignment="1" applyProtection="1">
      <alignment vertical="center"/>
      <protection locked="0"/>
    </xf>
    <xf numFmtId="0" fontId="1" fillId="8" borderId="36" xfId="0" applyFont="1" applyFill="1" applyBorder="1" applyAlignment="1" applyProtection="1">
      <alignment vertical="center"/>
      <protection locked="0"/>
    </xf>
    <xf numFmtId="0" fontId="32" fillId="8" borderId="45" xfId="0" applyFont="1" applyFill="1" applyBorder="1" applyAlignment="1" applyProtection="1">
      <alignment horizontal="center"/>
      <protection locked="0"/>
    </xf>
    <xf numFmtId="0" fontId="25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/>
    </xf>
    <xf numFmtId="0" fontId="89" fillId="0" borderId="0" xfId="0" applyFont="1" applyAlignment="1">
      <alignment horizontal="right" vertical="center"/>
    </xf>
    <xf numFmtId="0" fontId="28" fillId="8" borderId="0" xfId="0" applyFont="1" applyFill="1" applyBorder="1" applyAlignment="1">
      <alignment horizontal="right" vertical="center"/>
    </xf>
    <xf numFmtId="0" fontId="93" fillId="8" borderId="1" xfId="0" applyFont="1" applyFill="1" applyBorder="1" applyAlignment="1">
      <alignment vertical="center"/>
    </xf>
    <xf numFmtId="0" fontId="83" fillId="8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horizontal="center" vertical="center"/>
    </xf>
    <xf numFmtId="0" fontId="84" fillId="8" borderId="3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99" fillId="4" borderId="3" xfId="0" applyFont="1" applyFill="1" applyBorder="1" applyAlignment="1">
      <alignment horizontal="center" vertical="center"/>
    </xf>
    <xf numFmtId="0" fontId="100" fillId="2" borderId="5" xfId="0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3" fillId="2" borderId="1" xfId="0" applyFont="1" applyFill="1" applyBorder="1" applyAlignment="1">
      <alignment horizontal="center" vertical="center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104" fillId="11" borderId="9" xfId="0" applyFont="1" applyFill="1" applyBorder="1" applyAlignment="1" applyProtection="1">
      <alignment horizontal="center" vertical="center"/>
    </xf>
    <xf numFmtId="0" fontId="105" fillId="8" borderId="0" xfId="0" applyFont="1" applyFill="1" applyBorder="1" applyAlignment="1">
      <alignment horizontal="center" vertical="center"/>
    </xf>
    <xf numFmtId="0" fontId="107" fillId="0" borderId="3" xfId="0" applyFont="1" applyBorder="1" applyAlignment="1">
      <alignment horizontal="justify" vertical="center" wrapText="1"/>
    </xf>
    <xf numFmtId="0" fontId="107" fillId="0" borderId="5" xfId="0" applyFont="1" applyBorder="1" applyAlignment="1">
      <alignment horizontal="justify" vertical="center" wrapText="1"/>
    </xf>
    <xf numFmtId="0" fontId="106" fillId="0" borderId="2" xfId="0" applyFont="1" applyBorder="1" applyAlignment="1">
      <alignment horizontal="justify" vertical="center" wrapText="1"/>
    </xf>
    <xf numFmtId="0" fontId="107" fillId="0" borderId="2" xfId="0" applyFont="1" applyBorder="1" applyAlignment="1">
      <alignment horizontal="justify" vertical="center" wrapText="1"/>
    </xf>
    <xf numFmtId="0" fontId="109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29" fillId="0" borderId="3" xfId="0" applyFont="1" applyBorder="1" applyAlignment="1">
      <alignment horizontal="left" vertical="center" wrapText="1"/>
    </xf>
    <xf numFmtId="0" fontId="0" fillId="0" borderId="70" xfId="0" applyBorder="1" applyAlignment="1">
      <alignment vertical="center" wrapText="1"/>
    </xf>
    <xf numFmtId="0" fontId="106" fillId="0" borderId="70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9" fillId="0" borderId="70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106" fillId="0" borderId="0" xfId="0" applyFont="1" applyBorder="1" applyAlignment="1">
      <alignment horizontal="justify" vertical="center" wrapText="1"/>
    </xf>
    <xf numFmtId="0" fontId="107" fillId="2" borderId="34" xfId="0" applyFont="1" applyFill="1" applyBorder="1" applyAlignment="1">
      <alignment horizontal="center" vertical="center" wrapText="1"/>
    </xf>
    <xf numFmtId="0" fontId="107" fillId="2" borderId="4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106" fillId="0" borderId="0" xfId="0" applyFont="1" applyAlignment="1">
      <alignment horizontal="center" vertical="center"/>
    </xf>
    <xf numFmtId="0" fontId="32" fillId="8" borderId="0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top"/>
    </xf>
    <xf numFmtId="0" fontId="4" fillId="2" borderId="40" xfId="0" applyFont="1" applyFill="1" applyBorder="1" applyAlignment="1">
      <alignment horizontal="right" vertical="center" wrapText="1"/>
    </xf>
    <xf numFmtId="0" fontId="30" fillId="8" borderId="7" xfId="0" applyFont="1" applyFill="1" applyBorder="1" applyAlignment="1">
      <alignment horizontal="left" vertical="center"/>
    </xf>
    <xf numFmtId="0" fontId="40" fillId="8" borderId="21" xfId="0" applyFont="1" applyFill="1" applyBorder="1" applyAlignment="1">
      <alignment horizontal="left" vertical="center" indent="1"/>
    </xf>
    <xf numFmtId="0" fontId="94" fillId="2" borderId="5" xfId="0" applyFont="1" applyFill="1" applyBorder="1" applyAlignment="1">
      <alignment horizontal="center" vertical="center"/>
    </xf>
    <xf numFmtId="0" fontId="75" fillId="2" borderId="5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63" fillId="8" borderId="22" xfId="0" applyFont="1" applyFill="1" applyBorder="1" applyAlignment="1">
      <alignment horizontal="center" vertical="center" wrapText="1"/>
    </xf>
    <xf numFmtId="0" fontId="63" fillId="8" borderId="0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90" fillId="2" borderId="0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Border="1" applyAlignment="1" applyProtection="1">
      <alignment vertical="center"/>
      <protection locked="0"/>
    </xf>
    <xf numFmtId="0" fontId="19" fillId="8" borderId="7" xfId="0" applyFont="1" applyFill="1" applyBorder="1" applyAlignment="1">
      <alignment horizontal="left" vertical="center" wrapText="1"/>
    </xf>
    <xf numFmtId="0" fontId="13" fillId="5" borderId="52" xfId="0" applyFont="1" applyFill="1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shrinkToFit="1"/>
    </xf>
    <xf numFmtId="0" fontId="13" fillId="8" borderId="7" xfId="0" applyFont="1" applyFill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13" fillId="8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 indent="1" shrinkToFit="1"/>
    </xf>
    <xf numFmtId="0" fontId="13" fillId="5" borderId="7" xfId="0" applyFont="1" applyFill="1" applyBorder="1" applyAlignment="1">
      <alignment horizontal="left" vertical="center" wrapText="1" indent="1" shrinkToFit="1"/>
    </xf>
    <xf numFmtId="0" fontId="0" fillId="0" borderId="0" xfId="0" applyAlignment="1">
      <alignment horizontal="left" vertical="center" wrapText="1" shrinkToFit="1"/>
    </xf>
    <xf numFmtId="0" fontId="13" fillId="5" borderId="54" xfId="0" applyFont="1" applyFill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73" fillId="8" borderId="21" xfId="0" applyFont="1" applyFill="1" applyBorder="1" applyAlignment="1">
      <alignment horizontal="center" vertical="center"/>
    </xf>
    <xf numFmtId="0" fontId="73" fillId="8" borderId="1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right" vertical="center"/>
    </xf>
    <xf numFmtId="0" fontId="21" fillId="7" borderId="5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 vertical="center" wrapText="1"/>
    </xf>
    <xf numFmtId="0" fontId="39" fillId="8" borderId="0" xfId="0" applyFont="1" applyFill="1" applyBorder="1" applyAlignment="1">
      <alignment horizontal="center" vertical="center" wrapText="1"/>
    </xf>
    <xf numFmtId="0" fontId="39" fillId="8" borderId="32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0" fontId="25" fillId="8" borderId="2" xfId="0" applyFont="1" applyFill="1" applyBorder="1" applyAlignment="1">
      <alignment vertical="center" wrapText="1"/>
    </xf>
    <xf numFmtId="0" fontId="25" fillId="8" borderId="0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0" fontId="25" fillId="8" borderId="22" xfId="0" applyFont="1" applyFill="1" applyBorder="1" applyAlignment="1">
      <alignment vertical="center"/>
    </xf>
    <xf numFmtId="0" fontId="25" fillId="8" borderId="33" xfId="0" applyFont="1" applyFill="1" applyBorder="1" applyAlignment="1">
      <alignment vertical="center"/>
    </xf>
    <xf numFmtId="0" fontId="39" fillId="8" borderId="54" xfId="0" applyFont="1" applyFill="1" applyBorder="1" applyAlignment="1">
      <alignment horizontal="left" vertical="center" wrapText="1" indent="1"/>
    </xf>
    <xf numFmtId="0" fontId="39" fillId="8" borderId="11" xfId="0" applyFont="1" applyFill="1" applyBorder="1" applyAlignment="1">
      <alignment horizontal="left" vertical="center" wrapText="1" indent="1"/>
    </xf>
    <xf numFmtId="0" fontId="39" fillId="8" borderId="21" xfId="0" applyFont="1" applyFill="1" applyBorder="1" applyAlignment="1">
      <alignment horizontal="left" vertical="center" wrapText="1" indent="1"/>
    </xf>
    <xf numFmtId="0" fontId="39" fillId="8" borderId="1" xfId="0" applyFont="1" applyFill="1" applyBorder="1" applyAlignment="1">
      <alignment horizontal="left" vertical="center" wrapText="1" indent="1"/>
    </xf>
    <xf numFmtId="0" fontId="39" fillId="8" borderId="8" xfId="0" applyFont="1" applyFill="1" applyBorder="1" applyAlignment="1">
      <alignment horizontal="left" vertical="top" wrapText="1"/>
    </xf>
    <xf numFmtId="0" fontId="39" fillId="8" borderId="22" xfId="0" applyFont="1" applyFill="1" applyBorder="1" applyAlignment="1">
      <alignment horizontal="left" vertical="top" wrapText="1"/>
    </xf>
    <xf numFmtId="0" fontId="39" fillId="8" borderId="7" xfId="0" applyFont="1" applyFill="1" applyBorder="1" applyAlignment="1">
      <alignment horizontal="left" vertical="top" wrapText="1"/>
    </xf>
    <xf numFmtId="0" fontId="39" fillId="8" borderId="0" xfId="0" applyFont="1" applyFill="1" applyBorder="1" applyAlignment="1">
      <alignment horizontal="left" vertical="top" wrapText="1"/>
    </xf>
    <xf numFmtId="0" fontId="91" fillId="8" borderId="0" xfId="0" applyFont="1" applyFill="1" applyBorder="1" applyAlignment="1" applyProtection="1">
      <alignment horizontal="right" vertical="center"/>
      <protection locked="0"/>
    </xf>
    <xf numFmtId="0" fontId="91" fillId="8" borderId="17" xfId="0" applyFont="1" applyFill="1" applyBorder="1" applyAlignment="1" applyProtection="1">
      <alignment horizontal="right" vertical="center"/>
      <protection locked="0"/>
    </xf>
    <xf numFmtId="0" fontId="60" fillId="5" borderId="0" xfId="0" applyFont="1" applyFill="1" applyBorder="1" applyAlignment="1">
      <alignment horizontal="center" vertical="center"/>
    </xf>
    <xf numFmtId="0" fontId="60" fillId="5" borderId="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left" vertical="center" indent="1"/>
      <protection locked="0"/>
    </xf>
    <xf numFmtId="0" fontId="16" fillId="8" borderId="0" xfId="0" applyFont="1" applyFill="1" applyBorder="1" applyAlignment="1">
      <alignment horizontal="left"/>
    </xf>
    <xf numFmtId="0" fontId="16" fillId="2" borderId="4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0" fontId="31" fillId="4" borderId="35" xfId="0" applyFont="1" applyFill="1" applyBorder="1" applyAlignment="1" applyProtection="1">
      <alignment horizontal="left" vertical="center" wrapText="1" indent="1"/>
      <protection locked="0"/>
    </xf>
    <xf numFmtId="0" fontId="31" fillId="4" borderId="36" xfId="0" applyFont="1" applyFill="1" applyBorder="1" applyAlignment="1" applyProtection="1">
      <alignment horizontal="left" vertical="center" wrapText="1" indent="1"/>
      <protection locked="0"/>
    </xf>
    <xf numFmtId="0" fontId="87" fillId="8" borderId="2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/>
    </xf>
    <xf numFmtId="0" fontId="31" fillId="5" borderId="36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60" fillId="5" borderId="11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53" fillId="5" borderId="18" xfId="0" applyFont="1" applyFill="1" applyBorder="1" applyAlignment="1">
      <alignment horizontal="center" vertical="center" wrapText="1"/>
    </xf>
    <xf numFmtId="0" fontId="53" fillId="5" borderId="19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4" fillId="10" borderId="0" xfId="0" applyFont="1" applyFill="1" applyAlignment="1">
      <alignment horizontal="left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34" fillId="8" borderId="0" xfId="0" applyFont="1" applyFill="1" applyAlignment="1">
      <alignment horizontal="left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left" vertical="center" wrapText="1"/>
    </xf>
    <xf numFmtId="0" fontId="37" fillId="10" borderId="0" xfId="0" applyFont="1" applyFill="1" applyAlignment="1">
      <alignment horizontal="left" vertical="center" indent="1"/>
    </xf>
    <xf numFmtId="0" fontId="37" fillId="10" borderId="0" xfId="0" applyFont="1" applyFill="1" applyAlignment="1">
      <alignment horizontal="center" vertical="center"/>
    </xf>
    <xf numFmtId="0" fontId="18" fillId="8" borderId="13" xfId="0" applyFont="1" applyFill="1" applyBorder="1" applyAlignment="1">
      <alignment horizontal="left" vertical="center"/>
    </xf>
    <xf numFmtId="0" fontId="18" fillId="8" borderId="15" xfId="0" applyFont="1" applyFill="1" applyBorder="1" applyAlignment="1">
      <alignment horizontal="left" vertical="center"/>
    </xf>
    <xf numFmtId="0" fontId="33" fillId="8" borderId="0" xfId="0" applyFont="1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7" fillId="0" borderId="35" xfId="0" applyFont="1" applyBorder="1" applyAlignment="1">
      <alignment horizontal="center" vertical="center" wrapText="1"/>
    </xf>
    <xf numFmtId="0" fontId="107" fillId="0" borderId="45" xfId="0" applyFont="1" applyBorder="1" applyAlignment="1">
      <alignment horizontal="center" vertical="center" wrapText="1"/>
    </xf>
    <xf numFmtId="0" fontId="106" fillId="0" borderId="71" xfId="0" applyFont="1" applyBorder="1" applyAlignment="1">
      <alignment horizontal="justify" vertical="center" wrapText="1"/>
    </xf>
    <xf numFmtId="0" fontId="106" fillId="0" borderId="5" xfId="0" applyFont="1" applyBorder="1" applyAlignment="1">
      <alignment horizontal="justify" vertical="center" wrapText="1"/>
    </xf>
    <xf numFmtId="0" fontId="106" fillId="0" borderId="6" xfId="0" applyFont="1" applyBorder="1" applyAlignment="1">
      <alignment horizontal="justify" vertical="center" wrapText="1"/>
    </xf>
    <xf numFmtId="0" fontId="107" fillId="0" borderId="71" xfId="0" applyFont="1" applyBorder="1" applyAlignment="1">
      <alignment horizontal="center" vertical="center" wrapText="1"/>
    </xf>
    <xf numFmtId="0" fontId="107" fillId="0" borderId="5" xfId="0" applyFont="1" applyBorder="1" applyAlignment="1">
      <alignment horizontal="center" vertical="center" wrapText="1"/>
    </xf>
    <xf numFmtId="0" fontId="107" fillId="0" borderId="6" xfId="0" applyFont="1" applyBorder="1" applyAlignment="1">
      <alignment horizontal="center" vertical="center" wrapText="1"/>
    </xf>
    <xf numFmtId="0" fontId="107" fillId="0" borderId="4" xfId="0" applyFont="1" applyBorder="1" applyAlignment="1">
      <alignment horizontal="center" vertical="center" wrapText="1"/>
    </xf>
    <xf numFmtId="0" fontId="106" fillId="0" borderId="4" xfId="0" applyFont="1" applyBorder="1" applyAlignment="1">
      <alignment horizontal="justify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vertical="center" wrapText="1"/>
    </xf>
    <xf numFmtId="0" fontId="107" fillId="0" borderId="4" xfId="0" applyFont="1" applyBorder="1" applyAlignment="1">
      <alignment horizontal="justify" vertical="center" wrapText="1"/>
    </xf>
    <xf numFmtId="0" fontId="107" fillId="0" borderId="6" xfId="0" applyFont="1" applyBorder="1" applyAlignment="1">
      <alignment horizontal="justify" vertical="center" wrapText="1"/>
    </xf>
    <xf numFmtId="0" fontId="106" fillId="0" borderId="69" xfId="0" applyFont="1" applyBorder="1" applyAlignment="1">
      <alignment horizontal="justify" vertical="center" wrapText="1"/>
    </xf>
    <xf numFmtId="0" fontId="107" fillId="0" borderId="69" xfId="0" applyFont="1" applyBorder="1" applyAlignment="1">
      <alignment horizontal="center" vertical="center" wrapText="1"/>
    </xf>
    <xf numFmtId="0" fontId="107" fillId="0" borderId="8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33" xfId="0" applyFont="1" applyBorder="1" applyAlignment="1">
      <alignment horizontal="center" vertical="center" wrapText="1"/>
    </xf>
    <xf numFmtId="0" fontId="107" fillId="0" borderId="7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3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7" fillId="12" borderId="35" xfId="0" applyFont="1" applyFill="1" applyBorder="1" applyAlignment="1">
      <alignment horizontal="center" vertical="center" wrapText="1"/>
    </xf>
    <xf numFmtId="0" fontId="107" fillId="12" borderId="36" xfId="0" applyFont="1" applyFill="1" applyBorder="1" applyAlignment="1">
      <alignment horizontal="center" vertical="center" wrapText="1"/>
    </xf>
    <xf numFmtId="0" fontId="107" fillId="12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12">
    <dxf>
      <fill>
        <patternFill>
          <bgColor rgb="FFFFCCCC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4.9989318521683403E-2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5353"/>
        </patternFill>
      </fill>
    </dxf>
    <dxf>
      <fill>
        <patternFill patternType="solid">
          <fgColor theme="2"/>
          <bgColor theme="9" tint="0.79998168889431442"/>
        </patternFill>
      </fill>
    </dxf>
  </dxfs>
  <tableStyles count="0" defaultTableStyle="TableStyleMedium2" defaultPivotStyle="PivotStyleLight16"/>
  <colors>
    <mruColors>
      <color rgb="FFFF7C80"/>
      <color rgb="FFFFFF99"/>
      <color rgb="FFFFFFCC"/>
      <color rgb="FFFFCCFF"/>
      <color rgb="FF99FF99"/>
      <color rgb="FFCCFF99"/>
      <color rgb="FFFFCCCC"/>
      <color rgb="FF66FF33"/>
      <color rgb="FF00FF00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393700</xdr:colOff>
      <xdr:row>8</xdr:row>
      <xdr:rowOff>76200</xdr:rowOff>
    </xdr:from>
    <xdr:to>
      <xdr:col>10</xdr:col>
      <xdr:colOff>266700</xdr:colOff>
      <xdr:row>9</xdr:row>
      <xdr:rowOff>0</xdr:rowOff>
    </xdr:to>
    <xdr:pic>
      <xdr:nvPicPr>
        <xdr:cNvPr id="32" name="図 7" descr="http://upload.wikimedia.org/wikipedia/commons/thumb/e/e5/GHS-pictogram-rondflam.svg/724px-GHS-pictogram-rondflam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400" y="1701800"/>
          <a:ext cx="495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609600</xdr:colOff>
      <xdr:row>7</xdr:row>
      <xdr:rowOff>357188</xdr:rowOff>
    </xdr:from>
    <xdr:to>
      <xdr:col>10</xdr:col>
      <xdr:colOff>609600</xdr:colOff>
      <xdr:row>8</xdr:row>
      <xdr:rowOff>466725</xdr:rowOff>
    </xdr:to>
    <xdr:pic>
      <xdr:nvPicPr>
        <xdr:cNvPr id="19" name="図 9" descr="http://upload.wikimedia.org/wikipedia/commons/thumb/b/b9/GHS-pictogram-pollu.svg/724px-GHS-pictogram-pollu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385888"/>
          <a:ext cx="0" cy="490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47625</xdr:colOff>
      <xdr:row>12</xdr:row>
      <xdr:rowOff>9525</xdr:rowOff>
    </xdr:from>
    <xdr:to>
      <xdr:col>12</xdr:col>
      <xdr:colOff>152400</xdr:colOff>
      <xdr:row>49</xdr:row>
      <xdr:rowOff>123825</xdr:rowOff>
    </xdr:to>
    <xdr:sp macro="" textlink="">
      <xdr:nvSpPr>
        <xdr:cNvPr id="5" name="右大かっこ 4"/>
        <xdr:cNvSpPr/>
      </xdr:nvSpPr>
      <xdr:spPr>
        <a:xfrm>
          <a:off x="8553450" y="2390775"/>
          <a:ext cx="104775" cy="6496050"/>
        </a:xfrm>
        <a:prstGeom prst="rightBracket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14</xdr:row>
      <xdr:rowOff>22224</xdr:rowOff>
    </xdr:from>
    <xdr:to>
      <xdr:col>13</xdr:col>
      <xdr:colOff>0</xdr:colOff>
      <xdr:row>42</xdr:row>
      <xdr:rowOff>127000</xdr:rowOff>
    </xdr:to>
    <xdr:sp macro="" textlink="">
      <xdr:nvSpPr>
        <xdr:cNvPr id="6" name="テキスト ボックス 5"/>
        <xdr:cNvSpPr txBox="1"/>
      </xdr:nvSpPr>
      <xdr:spPr>
        <a:xfrm>
          <a:off x="12544425" y="3095624"/>
          <a:ext cx="295275" cy="5616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[Determination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 of designated chemical]</a:t>
          </a:r>
          <a:r>
            <a:rPr kumimoji="1" lang="en-US" altLang="ja-JP" sz="1050">
              <a:solidFill>
                <a:sysClr val="windowText" lastClr="000000"/>
              </a:solidFill>
            </a:rPr>
            <a:t> and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 [Calculation of Hazard level]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57150</xdr:colOff>
      <xdr:row>50</xdr:row>
      <xdr:rowOff>9526</xdr:rowOff>
    </xdr:from>
    <xdr:to>
      <xdr:col>12</xdr:col>
      <xdr:colOff>161925</xdr:colOff>
      <xdr:row>62</xdr:row>
      <xdr:rowOff>0</xdr:rowOff>
    </xdr:to>
    <xdr:sp macro="" textlink="">
      <xdr:nvSpPr>
        <xdr:cNvPr id="24" name="右大かっこ 23"/>
        <xdr:cNvSpPr/>
      </xdr:nvSpPr>
      <xdr:spPr>
        <a:xfrm>
          <a:off x="8562975" y="9477376"/>
          <a:ext cx="104775" cy="2895600"/>
        </a:xfrm>
        <a:prstGeom prst="righ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50</xdr:row>
      <xdr:rowOff>0</xdr:rowOff>
    </xdr:from>
    <xdr:to>
      <xdr:col>12</xdr:col>
      <xdr:colOff>381000</xdr:colOff>
      <xdr:row>62</xdr:row>
      <xdr:rowOff>0</xdr:rowOff>
    </xdr:to>
    <xdr:sp macro="" textlink="">
      <xdr:nvSpPr>
        <xdr:cNvPr id="25" name="テキスト ボックス 24"/>
        <xdr:cNvSpPr txBox="1"/>
      </xdr:nvSpPr>
      <xdr:spPr>
        <a:xfrm>
          <a:off x="8648700" y="9448800"/>
          <a:ext cx="238125" cy="318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[Calculation of Risk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 level] 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225425</xdr:colOff>
      <xdr:row>8</xdr:row>
      <xdr:rowOff>87313</xdr:rowOff>
    </xdr:from>
    <xdr:to>
      <xdr:col>4</xdr:col>
      <xdr:colOff>654504</xdr:colOff>
      <xdr:row>9</xdr:row>
      <xdr:rowOff>2042</xdr:rowOff>
    </xdr:to>
    <xdr:pic>
      <xdr:nvPicPr>
        <xdr:cNvPr id="20" name="図 1" descr="http://upload.wikimedia.org/wikipedia/commons/thumb/c/c3/GHS-pictogram-exclam.svg/724px-GHS-pictogram-exclam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325" y="1712913"/>
          <a:ext cx="429079" cy="410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460375</xdr:colOff>
      <xdr:row>8</xdr:row>
      <xdr:rowOff>76200</xdr:rowOff>
    </xdr:from>
    <xdr:to>
      <xdr:col>2</xdr:col>
      <xdr:colOff>879475</xdr:colOff>
      <xdr:row>8</xdr:row>
      <xdr:rowOff>466725</xdr:rowOff>
    </xdr:to>
    <xdr:pic>
      <xdr:nvPicPr>
        <xdr:cNvPr id="21" name="図 2" descr="http://upload.wikimedia.org/wikipedia/commons/thumb/5/58/GHS-pictogram-skull.svg/724px-GHS-pictogram-skull.sv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875" y="1701800"/>
          <a:ext cx="4191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203199</xdr:colOff>
      <xdr:row>8</xdr:row>
      <xdr:rowOff>101599</xdr:rowOff>
    </xdr:from>
    <xdr:to>
      <xdr:col>3</xdr:col>
      <xdr:colOff>642256</xdr:colOff>
      <xdr:row>8</xdr:row>
      <xdr:rowOff>493031</xdr:rowOff>
    </xdr:to>
    <xdr:pic>
      <xdr:nvPicPr>
        <xdr:cNvPr id="22" name="図 3" descr="http://upload.wikimedia.org/wikipedia/commons/thumb/d/d5/GHS-pictogram-silhouete.svg/724px-GHS-pictogram-silhouete.sv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8699" y="1727199"/>
          <a:ext cx="439057" cy="391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8</xdr:row>
      <xdr:rowOff>88900</xdr:rowOff>
    </xdr:from>
    <xdr:to>
      <xdr:col>5</xdr:col>
      <xdr:colOff>558800</xdr:colOff>
      <xdr:row>9</xdr:row>
      <xdr:rowOff>12699</xdr:rowOff>
    </xdr:to>
    <xdr:pic>
      <xdr:nvPicPr>
        <xdr:cNvPr id="23" name="図 4" descr="http://upload.wikimedia.org/wikipedia/commons/thumb/a/a1/GHS-pictogram-acid.svg/724px-GHS-pictogram-acid.sv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1714500"/>
          <a:ext cx="4064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542925</xdr:colOff>
      <xdr:row>8</xdr:row>
      <xdr:rowOff>96838</xdr:rowOff>
    </xdr:from>
    <xdr:to>
      <xdr:col>7</xdr:col>
      <xdr:colOff>972004</xdr:colOff>
      <xdr:row>8</xdr:row>
      <xdr:rowOff>487817</xdr:rowOff>
    </xdr:to>
    <xdr:pic>
      <xdr:nvPicPr>
        <xdr:cNvPr id="30" name="図 5" descr="http://upload.wikimedia.org/wikipedia/commons/thumb/4/4a/GHS-pictogram-explos.svg/724px-GHS-pictogram-explos.sv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825" y="1722438"/>
          <a:ext cx="429079" cy="39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231775</xdr:colOff>
      <xdr:row>8</xdr:row>
      <xdr:rowOff>74613</xdr:rowOff>
    </xdr:from>
    <xdr:to>
      <xdr:col>8</xdr:col>
      <xdr:colOff>660854</xdr:colOff>
      <xdr:row>8</xdr:row>
      <xdr:rowOff>475117</xdr:rowOff>
    </xdr:to>
    <xdr:pic>
      <xdr:nvPicPr>
        <xdr:cNvPr id="31" name="図 6" descr="http://upload.wikimedia.org/wikipedia/commons/thumb/6/6d/GHS-pictogram-flamme.svg/724px-GHS-pictogram-flamme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075" y="1484313"/>
          <a:ext cx="429079" cy="400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596900</xdr:colOff>
      <xdr:row>8</xdr:row>
      <xdr:rowOff>80963</xdr:rowOff>
    </xdr:from>
    <xdr:to>
      <xdr:col>11</xdr:col>
      <xdr:colOff>1025979</xdr:colOff>
      <xdr:row>8</xdr:row>
      <xdr:rowOff>471942</xdr:rowOff>
    </xdr:to>
    <xdr:pic>
      <xdr:nvPicPr>
        <xdr:cNvPr id="34" name="図 9" descr="http://upload.wikimedia.org/wikipedia/commons/thumb/b/b9/GHS-pictogram-pollu.svg/724px-GHS-pictogram-pollu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2200" y="1592263"/>
          <a:ext cx="429079" cy="39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565150</xdr:colOff>
      <xdr:row>8</xdr:row>
      <xdr:rowOff>28576</xdr:rowOff>
    </xdr:from>
    <xdr:to>
      <xdr:col>11</xdr:col>
      <xdr:colOff>1108076</xdr:colOff>
      <xdr:row>9</xdr:row>
      <xdr:rowOff>38101</xdr:rowOff>
    </xdr:to>
    <xdr:sp macro="" textlink="">
      <xdr:nvSpPr>
        <xdr:cNvPr id="2" name="円/楕円 1"/>
        <xdr:cNvSpPr/>
      </xdr:nvSpPr>
      <xdr:spPr>
        <a:xfrm>
          <a:off x="11220450" y="1539876"/>
          <a:ext cx="542926" cy="504825"/>
        </a:xfrm>
        <a:prstGeom prst="ellipse">
          <a:avLst/>
        </a:prstGeom>
        <a:noFill/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2381250</xdr:colOff>
      <xdr:row>40</xdr:row>
      <xdr:rowOff>19050</xdr:rowOff>
    </xdr:from>
    <xdr:to>
      <xdr:col>5</xdr:col>
      <xdr:colOff>123825</xdr:colOff>
      <xdr:row>43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3324225" y="7667625"/>
          <a:ext cx="12192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476250</xdr:colOff>
      <xdr:row>44</xdr:row>
      <xdr:rowOff>28576</xdr:rowOff>
    </xdr:from>
    <xdr:to>
      <xdr:col>26</xdr:col>
      <xdr:colOff>66675</xdr:colOff>
      <xdr:row>47</xdr:row>
      <xdr:rowOff>104775</xdr:rowOff>
    </xdr:to>
    <xdr:cxnSp macro="">
      <xdr:nvCxnSpPr>
        <xdr:cNvPr id="4" name="直線矢印コネクタ 3"/>
        <xdr:cNvCxnSpPr/>
      </xdr:nvCxnSpPr>
      <xdr:spPr>
        <a:xfrm flipV="1">
          <a:off x="17173575" y="8067676"/>
          <a:ext cx="962025" cy="6095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400050</xdr:colOff>
      <xdr:row>31</xdr:row>
      <xdr:rowOff>180975</xdr:rowOff>
    </xdr:from>
    <xdr:to>
      <xdr:col>23</xdr:col>
      <xdr:colOff>352426</xdr:colOff>
      <xdr:row>48</xdr:row>
      <xdr:rowOff>47627</xdr:rowOff>
    </xdr:to>
    <xdr:cxnSp macro="">
      <xdr:nvCxnSpPr>
        <xdr:cNvPr id="7" name="直線矢印コネクタ 6"/>
        <xdr:cNvCxnSpPr/>
      </xdr:nvCxnSpPr>
      <xdr:spPr>
        <a:xfrm flipH="1" flipV="1">
          <a:off x="15725775" y="5715000"/>
          <a:ext cx="638176" cy="3086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400050</xdr:colOff>
      <xdr:row>42</xdr:row>
      <xdr:rowOff>142875</xdr:rowOff>
    </xdr:from>
    <xdr:to>
      <xdr:col>23</xdr:col>
      <xdr:colOff>28575</xdr:colOff>
      <xdr:row>49</xdr:row>
      <xdr:rowOff>85725</xdr:rowOff>
    </xdr:to>
    <xdr:cxnSp macro="">
      <xdr:nvCxnSpPr>
        <xdr:cNvPr id="13" name="直線矢印コネクタ 12"/>
        <xdr:cNvCxnSpPr/>
      </xdr:nvCxnSpPr>
      <xdr:spPr>
        <a:xfrm flipH="1" flipV="1">
          <a:off x="15039975" y="7791450"/>
          <a:ext cx="1000125" cy="1228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82"/>
  <sheetViews>
    <sheetView tabSelected="1" workbookViewId="0">
      <selection activeCell="G81" sqref="G81"/>
    </sheetView>
  </sheetViews>
  <sheetFormatPr defaultColWidth="8.875" defaultRowHeight="18.75"/>
  <cols>
    <col min="1" max="1" width="3.375" style="125" customWidth="1"/>
    <col min="2" max="2" width="30.875" style="125" customWidth="1"/>
    <col min="3" max="3" width="17.375" style="125" customWidth="1"/>
    <col min="4" max="4" width="11.375" style="125" customWidth="1"/>
    <col min="5" max="5" width="11.625" style="125" customWidth="1"/>
    <col min="6" max="6" width="8.375" style="125" customWidth="1"/>
    <col min="7" max="7" width="7" style="125" customWidth="1"/>
    <col min="8" max="8" width="20" style="125" customWidth="1"/>
    <col min="9" max="9" width="11.125" style="125" customWidth="1"/>
    <col min="10" max="10" width="8.125" style="125" customWidth="1"/>
    <col min="11" max="11" width="10.625" style="125" customWidth="1"/>
    <col min="12" max="12" width="22.625" style="125" customWidth="1"/>
    <col min="13" max="13" width="6" style="367" customWidth="1"/>
    <col min="14" max="16384" width="8.875" style="125"/>
  </cols>
  <sheetData>
    <row r="1" spans="2:13" ht="13.5" customHeight="1">
      <c r="B1" s="125" t="s">
        <v>666</v>
      </c>
      <c r="E1" s="132" t="s">
        <v>667</v>
      </c>
      <c r="F1" s="131"/>
      <c r="G1" s="131"/>
      <c r="K1" s="233"/>
      <c r="L1" s="499" t="str">
        <f>+B81</f>
        <v xml:space="preserve">     ver 4.6       </v>
      </c>
    </row>
    <row r="2" spans="2:13" ht="4.5" customHeight="1">
      <c r="B2" s="376"/>
      <c r="C2" s="376"/>
      <c r="D2" s="376"/>
    </row>
    <row r="3" spans="2:13" s="82" customFormat="1">
      <c r="B3" s="376" t="s">
        <v>192</v>
      </c>
      <c r="C3" s="477" t="s">
        <v>698</v>
      </c>
      <c r="D3" s="376"/>
      <c r="E3" s="376"/>
      <c r="F3" s="547" t="s">
        <v>665</v>
      </c>
      <c r="G3" s="376"/>
      <c r="H3" s="376"/>
      <c r="I3" s="376"/>
      <c r="J3" s="376"/>
      <c r="K3" s="547" t="s">
        <v>664</v>
      </c>
      <c r="L3" s="376"/>
      <c r="M3" s="100"/>
    </row>
    <row r="4" spans="2:13" s="82" customFormat="1" ht="9" customHeight="1"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100"/>
    </row>
    <row r="5" spans="2:13" s="82" customFormat="1">
      <c r="B5" s="377" t="s">
        <v>656</v>
      </c>
      <c r="C5" s="545" t="s">
        <v>691</v>
      </c>
      <c r="D5" s="543" t="str">
        <f>IF(RL!L49=1,"Confirmation is required",IF(RL!L49=2,"Confirmation is reccomended",IF(RL!L49=3,"Confirmation is not necessary","")))</f>
        <v>Confirmation is not necessary</v>
      </c>
      <c r="E5" s="376"/>
      <c r="F5" s="547" t="s">
        <v>662</v>
      </c>
      <c r="G5" s="376"/>
      <c r="H5" s="376"/>
      <c r="I5" s="376"/>
      <c r="J5" s="376"/>
      <c r="K5" s="547" t="s">
        <v>664</v>
      </c>
      <c r="L5" s="376"/>
      <c r="M5" s="100"/>
    </row>
    <row r="6" spans="2:13" s="82" customFormat="1">
      <c r="B6" s="377" t="s">
        <v>657</v>
      </c>
      <c r="C6" s="546" t="s">
        <v>692</v>
      </c>
      <c r="D6" s="544" t="str">
        <f>IF(RL!L48=1,"Confirmaiton is required",IF(RL!L48=2,"Confirmation is recomended",IF(RL!L48=3,"Confirmaiton is not necessary","")))</f>
        <v>Confirmaiton is not necessary</v>
      </c>
      <c r="E6" s="376"/>
      <c r="F6" s="478" t="s">
        <v>663</v>
      </c>
      <c r="G6" s="376"/>
      <c r="H6" s="376"/>
      <c r="I6" s="376"/>
      <c r="J6" s="376"/>
      <c r="K6" s="376"/>
      <c r="L6" s="376"/>
      <c r="M6" s="100"/>
    </row>
    <row r="7" spans="2:13" ht="9" customHeight="1" thickBot="1">
      <c r="B7" s="177"/>
      <c r="C7" s="178"/>
      <c r="D7" s="178"/>
      <c r="E7" s="178"/>
      <c r="F7" s="177"/>
      <c r="G7" s="177"/>
      <c r="H7" s="177"/>
      <c r="I7" s="177"/>
      <c r="J7" s="177"/>
      <c r="K7" s="177"/>
      <c r="L7" s="177"/>
    </row>
    <row r="8" spans="2:13" ht="30" customHeight="1" thickBot="1">
      <c r="B8" s="205" t="s">
        <v>506</v>
      </c>
      <c r="C8" s="604" t="s">
        <v>294</v>
      </c>
      <c r="D8" s="605"/>
      <c r="E8" s="605"/>
      <c r="F8" s="605"/>
      <c r="G8" s="605"/>
      <c r="H8" s="605"/>
      <c r="I8" s="479"/>
      <c r="J8" s="609" t="str">
        <f>IF(F53=1," less than 1 kg ",IF(F53=2,"more than 1 kg",IF(F53=3,"more than 1 ton ",IF(F53=4,"less than 1 g ",IF(F53=5,"less than 10 g",IF(F53=6,"less than 100 g",""))))))</f>
        <v/>
      </c>
      <c r="K8" s="609"/>
      <c r="L8" s="480"/>
    </row>
    <row r="9" spans="2:13" ht="39.75" customHeight="1">
      <c r="B9" s="206" t="s">
        <v>545</v>
      </c>
      <c r="C9" s="471" t="str">
        <f>IF(HL!I62=1,"○","")</f>
        <v/>
      </c>
      <c r="D9" s="471" t="str">
        <f>IF(HL!I63=1,"○","")</f>
        <v/>
      </c>
      <c r="E9" s="471" t="str">
        <f>IF(HL!I64=1,"○","")</f>
        <v/>
      </c>
      <c r="F9" s="472" t="str">
        <f>IF(HL!I61=1,"○","")</f>
        <v/>
      </c>
      <c r="G9" s="472"/>
      <c r="H9" s="471" t="str">
        <f>IF(HL!I58=1,"○","")</f>
        <v/>
      </c>
      <c r="I9" s="471" t="str">
        <f>IF(HL!I59=1,"○","")</f>
        <v/>
      </c>
      <c r="J9" s="606" t="str">
        <f>IF(HL!I60=1,"○","")</f>
        <v/>
      </c>
      <c r="K9" s="606"/>
      <c r="L9" s="473"/>
    </row>
    <row r="10" spans="2:13" s="128" customFormat="1" ht="12.75" customHeight="1">
      <c r="B10" s="208"/>
      <c r="C10" s="255" t="s">
        <v>485</v>
      </c>
      <c r="D10" s="528" t="s">
        <v>489</v>
      </c>
      <c r="E10" s="255" t="s">
        <v>658</v>
      </c>
      <c r="F10" s="595" t="s">
        <v>659</v>
      </c>
      <c r="G10" s="595"/>
      <c r="H10" s="255" t="s">
        <v>495</v>
      </c>
      <c r="I10" s="255" t="s">
        <v>488</v>
      </c>
      <c r="J10" s="608" t="s">
        <v>510</v>
      </c>
      <c r="K10" s="608"/>
      <c r="L10" s="378" t="s">
        <v>486</v>
      </c>
      <c r="M10" s="368"/>
    </row>
    <row r="11" spans="2:13" s="128" customFormat="1" ht="14.1" customHeight="1" thickBot="1">
      <c r="B11" s="209"/>
      <c r="C11" s="188"/>
      <c r="D11" s="254" t="s">
        <v>490</v>
      </c>
      <c r="E11" s="188"/>
      <c r="F11" s="267"/>
      <c r="G11" s="267"/>
      <c r="H11" s="254" t="s">
        <v>496</v>
      </c>
      <c r="I11" s="188"/>
      <c r="J11" s="607" t="s">
        <v>511</v>
      </c>
      <c r="K11" s="607"/>
      <c r="L11" s="379" t="s">
        <v>487</v>
      </c>
      <c r="M11" s="368"/>
    </row>
    <row r="12" spans="2:13" ht="30" customHeight="1">
      <c r="B12" s="261"/>
      <c r="C12" s="214"/>
      <c r="D12" s="219" t="s">
        <v>492</v>
      </c>
      <c r="E12" s="215"/>
      <c r="F12" s="216" t="s">
        <v>494</v>
      </c>
      <c r="G12" s="216" t="str">
        <f>IF(COUNTIF(D82,"*無*"),"","CRA")</f>
        <v/>
      </c>
      <c r="H12" s="555" t="s">
        <v>558</v>
      </c>
      <c r="I12" s="555"/>
      <c r="J12" s="531" t="s">
        <v>509</v>
      </c>
      <c r="K12" s="555" t="s">
        <v>679</v>
      </c>
      <c r="L12" s="596"/>
    </row>
    <row r="13" spans="2:13" ht="14.25" customHeight="1">
      <c r="B13" s="211" t="s">
        <v>275</v>
      </c>
      <c r="C13" s="559" t="s">
        <v>491</v>
      </c>
      <c r="D13" s="560"/>
      <c r="E13" s="560"/>
      <c r="F13" s="369"/>
      <c r="G13" s="401" t="str">
        <f>+CRA!H6</f>
        <v>-</v>
      </c>
      <c r="H13" s="597" t="str">
        <f>+IF(HL!Q5=1,"●Explosives","")</f>
        <v/>
      </c>
      <c r="I13" s="597"/>
      <c r="J13" s="324" t="s">
        <v>516</v>
      </c>
      <c r="K13" s="597" t="s">
        <v>670</v>
      </c>
      <c r="L13" s="598"/>
    </row>
    <row r="14" spans="2:13" ht="14.25" customHeight="1">
      <c r="B14" s="211" t="s">
        <v>493</v>
      </c>
      <c r="C14" s="556" t="s">
        <v>704</v>
      </c>
      <c r="D14" s="552"/>
      <c r="E14" s="552"/>
      <c r="F14" s="369"/>
      <c r="G14" s="401" t="str">
        <f>+CRA!H11</f>
        <v>-</v>
      </c>
      <c r="H14" s="602" t="str">
        <f>+IF(HL!K60=1,"●Class 3 designated chemical  (Highly flammable)","")</f>
        <v/>
      </c>
      <c r="I14" s="602"/>
      <c r="J14" s="324" t="s">
        <v>515</v>
      </c>
      <c r="K14" s="589" t="s">
        <v>671</v>
      </c>
      <c r="L14" s="590"/>
    </row>
    <row r="15" spans="2:13" ht="14.25" customHeight="1">
      <c r="B15" s="212" t="s">
        <v>513</v>
      </c>
      <c r="C15" s="551" t="s">
        <v>705</v>
      </c>
      <c r="D15" s="552"/>
      <c r="E15" s="552"/>
      <c r="F15" s="369"/>
      <c r="G15" s="402" t="str">
        <f>+CRA!H12</f>
        <v>-</v>
      </c>
      <c r="H15" s="603"/>
      <c r="I15" s="603"/>
      <c r="J15" s="325" t="s">
        <v>515</v>
      </c>
      <c r="K15" s="610"/>
      <c r="L15" s="611"/>
    </row>
    <row r="16" spans="2:13" ht="15" customHeight="1">
      <c r="B16" s="530" t="s">
        <v>508</v>
      </c>
      <c r="C16" s="556" t="s">
        <v>706</v>
      </c>
      <c r="D16" s="552"/>
      <c r="E16" s="552"/>
      <c r="F16" s="369"/>
      <c r="G16" s="401" t="str">
        <f>+CRA!H13</f>
        <v>-</v>
      </c>
      <c r="H16" s="602" t="str">
        <f>+IF(HL!P12=1,"●Class 2 designated chemical (Self-reactive)","")</f>
        <v/>
      </c>
      <c r="I16" s="602"/>
      <c r="J16" s="324" t="s">
        <v>517</v>
      </c>
      <c r="K16" s="599" t="s">
        <v>672</v>
      </c>
      <c r="L16" s="612"/>
    </row>
    <row r="17" spans="2:12" ht="14.25" customHeight="1">
      <c r="B17" s="212" t="s">
        <v>392</v>
      </c>
      <c r="C17" s="556" t="s">
        <v>707</v>
      </c>
      <c r="D17" s="552"/>
      <c r="E17" s="552"/>
      <c r="F17" s="369"/>
      <c r="G17" s="401" t="str">
        <f>+CRA!H14</f>
        <v>-</v>
      </c>
      <c r="H17" s="602" t="str">
        <f>+IF(HL!P13=1,"●Class 2 designated chemical  (Pyrophoric)","")</f>
        <v/>
      </c>
      <c r="I17" s="602"/>
      <c r="J17" s="324" t="s">
        <v>515</v>
      </c>
      <c r="K17" s="599" t="s">
        <v>673</v>
      </c>
      <c r="L17" s="612"/>
    </row>
    <row r="18" spans="2:12" ht="14.25" customHeight="1">
      <c r="B18" s="406" t="s">
        <v>415</v>
      </c>
      <c r="C18" s="556" t="s">
        <v>708</v>
      </c>
      <c r="D18" s="552"/>
      <c r="E18" s="552"/>
      <c r="F18" s="369"/>
      <c r="G18" s="401" t="str">
        <f>+CRA!H15</f>
        <v>-</v>
      </c>
      <c r="H18" s="602" t="str">
        <f>+IF(HL!P14=1,"●Class 2 designated chemical  (Pyrophoric)","")</f>
        <v/>
      </c>
      <c r="I18" s="602"/>
      <c r="J18" s="324" t="s">
        <v>515</v>
      </c>
      <c r="K18" s="599" t="s">
        <v>672</v>
      </c>
      <c r="L18" s="612"/>
    </row>
    <row r="19" spans="2:12" ht="14.25" customHeight="1">
      <c r="B19" s="463">
        <f>+MAX(G13:G24)</f>
        <v>0</v>
      </c>
      <c r="C19" s="551" t="s">
        <v>709</v>
      </c>
      <c r="D19" s="552"/>
      <c r="E19" s="552"/>
      <c r="F19" s="369"/>
      <c r="G19" s="402" t="str">
        <f>+CRA!H16</f>
        <v>-</v>
      </c>
      <c r="H19" s="603"/>
      <c r="I19" s="603"/>
      <c r="J19" s="325" t="s">
        <v>515</v>
      </c>
      <c r="K19" s="610"/>
      <c r="L19" s="611"/>
    </row>
    <row r="20" spans="2:12" ht="42.95" customHeight="1">
      <c r="B20" s="424" t="str">
        <f>IF(B$19&gt;=6, "■","")</f>
        <v/>
      </c>
      <c r="C20" s="557" t="s">
        <v>638</v>
      </c>
      <c r="D20" s="558"/>
      <c r="E20" s="558"/>
      <c r="F20" s="369"/>
      <c r="G20" s="401" t="str">
        <f>+CRA!H17</f>
        <v>-</v>
      </c>
      <c r="H20" s="602" t="str">
        <f>+IF(HL!P16=1,"●Class 2 designated chemical  (Water-reactive)","")</f>
        <v/>
      </c>
      <c r="I20" s="602"/>
      <c r="J20" s="324" t="s">
        <v>515</v>
      </c>
      <c r="K20" s="599" t="s">
        <v>674</v>
      </c>
      <c r="L20" s="612"/>
    </row>
    <row r="21" spans="2:12" ht="14.25" customHeight="1">
      <c r="B21" s="494" t="str">
        <f>IF(B$19&gt;=4, "■","")</f>
        <v/>
      </c>
      <c r="C21" s="551" t="s">
        <v>710</v>
      </c>
      <c r="D21" s="552"/>
      <c r="E21" s="552"/>
      <c r="F21" s="369"/>
      <c r="G21" s="402" t="str">
        <f>+CRA!H18</f>
        <v>-</v>
      </c>
      <c r="H21" s="204"/>
      <c r="I21" s="204"/>
      <c r="J21" s="325" t="s">
        <v>515</v>
      </c>
      <c r="K21" s="360"/>
      <c r="L21" s="203"/>
    </row>
    <row r="22" spans="2:12" ht="14.25" customHeight="1">
      <c r="B22" s="410" t="str">
        <f>IF(B$19&gt;=2, "■","")</f>
        <v/>
      </c>
      <c r="C22" s="551" t="s">
        <v>711</v>
      </c>
      <c r="D22" s="552"/>
      <c r="E22" s="552"/>
      <c r="F22" s="369"/>
      <c r="G22" s="402" t="str">
        <f>+CRA!H19</f>
        <v>-</v>
      </c>
      <c r="H22" s="204"/>
      <c r="I22" s="204"/>
      <c r="J22" s="325" t="s">
        <v>515</v>
      </c>
      <c r="K22" s="360"/>
      <c r="L22" s="203"/>
    </row>
    <row r="23" spans="2:12" ht="14.25" customHeight="1">
      <c r="B23" s="429" t="str">
        <f>IF(B$19&gt;=1, "■","")</f>
        <v/>
      </c>
      <c r="C23" s="556" t="s">
        <v>712</v>
      </c>
      <c r="D23" s="552"/>
      <c r="E23" s="552"/>
      <c r="F23" s="369"/>
      <c r="G23" s="401" t="str">
        <f>+CRA!H20</f>
        <v>-</v>
      </c>
      <c r="H23" s="174" t="str">
        <f>+IF(HL!P19=1,"●Class 2 designated chemical (Organic peroxides)","")</f>
        <v/>
      </c>
      <c r="I23" s="174"/>
      <c r="J23" s="324" t="s">
        <v>520</v>
      </c>
      <c r="K23" s="599" t="s">
        <v>673</v>
      </c>
      <c r="L23" s="612"/>
    </row>
    <row r="24" spans="2:12" ht="14.25" customHeight="1">
      <c r="B24" s="429"/>
      <c r="C24" s="551" t="s">
        <v>713</v>
      </c>
      <c r="D24" s="552"/>
      <c r="E24" s="552"/>
      <c r="F24" s="369"/>
      <c r="G24" s="402" t="str">
        <f>+CRA!H21</f>
        <v>-</v>
      </c>
      <c r="H24" s="204"/>
      <c r="I24" s="204"/>
      <c r="J24" s="325" t="s">
        <v>515</v>
      </c>
      <c r="K24" s="360"/>
      <c r="L24" s="203"/>
    </row>
    <row r="25" spans="2:12" ht="7.5" customHeight="1" thickBot="1">
      <c r="B25" s="213"/>
      <c r="C25" s="181"/>
      <c r="D25" s="181"/>
      <c r="E25" s="181"/>
      <c r="F25" s="195"/>
      <c r="G25" s="196"/>
      <c r="H25" s="197"/>
      <c r="I25" s="197"/>
      <c r="J25" s="184"/>
      <c r="K25" s="184"/>
      <c r="L25" s="198"/>
    </row>
    <row r="26" spans="2:12">
      <c r="B26" s="210"/>
      <c r="C26" s="217"/>
      <c r="D26" s="220" t="s">
        <v>514</v>
      </c>
      <c r="E26" s="218"/>
      <c r="F26" s="216"/>
      <c r="G26" s="216" t="s">
        <v>44</v>
      </c>
      <c r="H26" s="555" t="s">
        <v>558</v>
      </c>
      <c r="I26" s="555"/>
      <c r="J26" s="216" t="s">
        <v>680</v>
      </c>
      <c r="K26" s="555" t="s">
        <v>669</v>
      </c>
      <c r="L26" s="596"/>
    </row>
    <row r="27" spans="2:12" ht="14.25" customHeight="1">
      <c r="B27" s="211"/>
      <c r="C27" s="302" t="s">
        <v>500</v>
      </c>
      <c r="D27" s="263"/>
      <c r="E27" s="263"/>
      <c r="F27" s="369"/>
      <c r="G27" s="262" t="str">
        <f>+HL!L25</f>
        <v/>
      </c>
      <c r="H27" s="174" t="str">
        <f>+IF(HL!M25=1,"●Class 1 designated chemical","")</f>
        <v/>
      </c>
      <c r="I27" s="174"/>
      <c r="J27" s="204"/>
      <c r="K27" s="613" t="s">
        <v>676</v>
      </c>
      <c r="L27" s="614"/>
    </row>
    <row r="28" spans="2:12" ht="14.25" customHeight="1">
      <c r="B28" s="211" t="s">
        <v>497</v>
      </c>
      <c r="C28" s="304" t="s">
        <v>498</v>
      </c>
      <c r="D28" s="264"/>
      <c r="E28" s="264"/>
      <c r="F28" s="369"/>
      <c r="G28" s="262" t="str">
        <f>+HL!L26</f>
        <v/>
      </c>
      <c r="H28" s="174" t="str">
        <f>+IF(HL!M26=1,"●Class 1 designated chemical","")</f>
        <v/>
      </c>
      <c r="I28" s="174"/>
      <c r="J28" s="204"/>
      <c r="K28" s="589" t="s">
        <v>675</v>
      </c>
      <c r="L28" s="590"/>
    </row>
    <row r="29" spans="2:12" ht="14.25" customHeight="1">
      <c r="B29" s="212"/>
      <c r="C29" s="304" t="s">
        <v>499</v>
      </c>
      <c r="D29" s="264"/>
      <c r="E29" s="264"/>
      <c r="F29" s="369"/>
      <c r="G29" s="262" t="str">
        <f>+HL!L27</f>
        <v/>
      </c>
      <c r="H29" s="174" t="str">
        <f>+IF(HL!M27=1,"●Class 1 designated chemical","")</f>
        <v/>
      </c>
      <c r="I29" s="174"/>
      <c r="J29" s="127" t="str">
        <f>IF(HL!P27=1,"S","")</f>
        <v/>
      </c>
      <c r="K29" s="589" t="s">
        <v>675</v>
      </c>
      <c r="L29" s="590"/>
    </row>
    <row r="30" spans="2:12" ht="14.25" customHeight="1">
      <c r="B30" s="212"/>
      <c r="C30" s="304" t="s">
        <v>518</v>
      </c>
      <c r="D30" s="264"/>
      <c r="E30" s="264"/>
      <c r="F30" s="369"/>
      <c r="G30" s="262" t="str">
        <f>+HL!L28</f>
        <v/>
      </c>
      <c r="H30" s="174" t="str">
        <f>+IF(HL!M28=1,"●Class 1 designated chemical","")</f>
        <v/>
      </c>
      <c r="I30" s="174"/>
      <c r="J30" s="204"/>
      <c r="K30" s="589" t="s">
        <v>675</v>
      </c>
      <c r="L30" s="590"/>
    </row>
    <row r="31" spans="2:12" ht="14.25" customHeight="1">
      <c r="B31" s="212" t="s">
        <v>507</v>
      </c>
      <c r="C31" s="304" t="s">
        <v>714</v>
      </c>
      <c r="D31" s="264"/>
      <c r="E31" s="264"/>
      <c r="F31" s="369"/>
      <c r="G31" s="262" t="str">
        <f>+HL!L29</f>
        <v/>
      </c>
      <c r="H31" s="174" t="str">
        <f>+IF(HL!M29=1,"●Class 1 designated chemical","")</f>
        <v/>
      </c>
      <c r="I31" s="174"/>
      <c r="J31" s="204"/>
      <c r="K31" s="589" t="s">
        <v>676</v>
      </c>
      <c r="L31" s="590"/>
    </row>
    <row r="32" spans="2:12" ht="14.25" customHeight="1">
      <c r="B32" s="212"/>
      <c r="C32" s="302" t="s">
        <v>715</v>
      </c>
      <c r="D32" s="263"/>
      <c r="E32" s="263"/>
      <c r="F32" s="369"/>
      <c r="G32" s="262" t="str">
        <f>+HL!L30</f>
        <v/>
      </c>
      <c r="H32" s="174" t="str">
        <f>+IF(HL!O30=1,"●Skin protection","")</f>
        <v/>
      </c>
      <c r="I32" s="174"/>
      <c r="J32" s="127" t="str">
        <f>IF(HL!P30=1,"S","")</f>
        <v/>
      </c>
      <c r="K32" s="599" t="s">
        <v>677</v>
      </c>
      <c r="L32" s="590"/>
    </row>
    <row r="33" spans="2:12" ht="14.25" customHeight="1">
      <c r="B33" s="212"/>
      <c r="C33" s="302" t="s">
        <v>716</v>
      </c>
      <c r="D33" s="263"/>
      <c r="E33" s="263"/>
      <c r="F33" s="369"/>
      <c r="G33" s="262" t="str">
        <f>+HL!L31</f>
        <v/>
      </c>
      <c r="H33" s="174" t="str">
        <f>+IF(HL!N31=1,"●Eye protection","")</f>
        <v/>
      </c>
      <c r="I33" s="174"/>
      <c r="J33" s="127" t="str">
        <f>IF(HL!P31=1,"S","")</f>
        <v/>
      </c>
      <c r="K33" s="599" t="s">
        <v>681</v>
      </c>
      <c r="L33" s="590"/>
    </row>
    <row r="34" spans="2:12" ht="14.25" customHeight="1">
      <c r="B34" s="212"/>
      <c r="C34" s="303" t="s">
        <v>717</v>
      </c>
      <c r="D34" s="179"/>
      <c r="E34" s="179"/>
      <c r="F34" s="369"/>
      <c r="G34" s="262" t="str">
        <f>+HL!L32</f>
        <v/>
      </c>
      <c r="H34" s="204"/>
      <c r="I34" s="204"/>
      <c r="J34" s="82"/>
      <c r="K34" s="361"/>
      <c r="L34" s="203"/>
    </row>
    <row r="35" spans="2:12" ht="14.25" customHeight="1">
      <c r="B35" s="212"/>
      <c r="C35" s="303" t="s">
        <v>718</v>
      </c>
      <c r="D35" s="179"/>
      <c r="E35" s="179"/>
      <c r="F35" s="369"/>
      <c r="G35" s="262" t="str">
        <f>+HL!L33</f>
        <v/>
      </c>
      <c r="H35" s="204"/>
      <c r="I35" s="204"/>
      <c r="J35" s="127" t="str">
        <f>IF(HL!P33=1,"S","")</f>
        <v/>
      </c>
      <c r="K35" s="362"/>
      <c r="L35" s="203"/>
    </row>
    <row r="36" spans="2:12" ht="14.25" customHeight="1">
      <c r="B36" s="406"/>
      <c r="C36" s="303" t="s">
        <v>719</v>
      </c>
      <c r="D36" s="179"/>
      <c r="E36" s="179"/>
      <c r="F36" s="369"/>
      <c r="G36" s="262" t="str">
        <f>+HL!L34</f>
        <v/>
      </c>
      <c r="H36" s="204"/>
      <c r="I36" s="204"/>
      <c r="J36" s="200"/>
      <c r="K36" s="362"/>
      <c r="L36" s="203"/>
    </row>
    <row r="37" spans="2:12" ht="14.25" customHeight="1">
      <c r="B37" s="405"/>
      <c r="C37" s="302" t="s">
        <v>501</v>
      </c>
      <c r="D37" s="263"/>
      <c r="E37" s="263"/>
      <c r="F37" s="369"/>
      <c r="G37" s="262" t="str">
        <f>+HL!L35</f>
        <v/>
      </c>
      <c r="H37" s="174" t="str">
        <f>+IF(HL!M35=1,"●Class 1 designated chemical","")</f>
        <v/>
      </c>
      <c r="I37" s="174"/>
      <c r="J37" s="200"/>
      <c r="K37" s="599" t="s">
        <v>678</v>
      </c>
      <c r="L37" s="590"/>
    </row>
    <row r="38" spans="2:12" ht="14.25" customHeight="1">
      <c r="B38" s="425"/>
      <c r="C38" s="303" t="s">
        <v>720</v>
      </c>
      <c r="D38" s="179"/>
      <c r="E38" s="179"/>
      <c r="F38" s="369"/>
      <c r="G38" s="262" t="str">
        <f>+HL!L36</f>
        <v/>
      </c>
      <c r="H38" s="204"/>
      <c r="I38" s="204"/>
      <c r="J38" s="200"/>
      <c r="K38" s="362"/>
      <c r="L38" s="203"/>
    </row>
    <row r="39" spans="2:12" ht="29.1" customHeight="1">
      <c r="B39" s="425"/>
      <c r="C39" s="553" t="s">
        <v>721</v>
      </c>
      <c r="D39" s="554"/>
      <c r="E39" s="554"/>
      <c r="F39" s="130"/>
      <c r="G39" s="262" t="str">
        <f>+HL!L37</f>
        <v/>
      </c>
      <c r="H39" s="204"/>
      <c r="I39" s="204"/>
      <c r="J39" s="200"/>
      <c r="K39" s="362"/>
      <c r="L39" s="203"/>
    </row>
    <row r="40" spans="2:12" ht="14.25" customHeight="1">
      <c r="B40" s="409"/>
      <c r="C40" s="305" t="s">
        <v>543</v>
      </c>
      <c r="D40" s="182"/>
      <c r="E40" s="193"/>
      <c r="F40" s="369"/>
      <c r="G40" s="262" t="str">
        <f>+HL!L38</f>
        <v/>
      </c>
      <c r="H40" s="371" t="s">
        <v>519</v>
      </c>
      <c r="I40" s="236"/>
      <c r="J40" s="200"/>
      <c r="K40" s="362"/>
      <c r="L40" s="203"/>
    </row>
    <row r="41" spans="2:12" ht="14.25" customHeight="1">
      <c r="B41" s="430"/>
      <c r="C41" s="305" t="s">
        <v>722</v>
      </c>
      <c r="D41" s="182"/>
      <c r="E41" s="193"/>
      <c r="F41" s="369"/>
      <c r="G41" s="262" t="str">
        <f>+HL!L39</f>
        <v/>
      </c>
      <c r="H41" s="371" t="s">
        <v>533</v>
      </c>
      <c r="I41" s="236"/>
      <c r="J41" s="200"/>
      <c r="K41" s="362"/>
      <c r="L41" s="203"/>
    </row>
    <row r="42" spans="2:12" ht="14.25" customHeight="1">
      <c r="B42" s="430"/>
      <c r="C42" s="551" t="s">
        <v>723</v>
      </c>
      <c r="D42" s="552"/>
      <c r="E42" s="552"/>
      <c r="F42" s="369"/>
      <c r="G42" s="262" t="str">
        <f>+HL!L40</f>
        <v/>
      </c>
      <c r="H42" s="371" t="s">
        <v>532</v>
      </c>
      <c r="I42" s="236"/>
      <c r="J42" s="200"/>
      <c r="K42" s="362"/>
      <c r="L42" s="203"/>
    </row>
    <row r="43" spans="2:12" ht="14.25" customHeight="1">
      <c r="B43" s="207"/>
      <c r="C43" s="303" t="s">
        <v>724</v>
      </c>
      <c r="D43" s="179"/>
      <c r="E43" s="179"/>
      <c r="F43" s="369"/>
      <c r="G43" s="262" t="str">
        <f>+HL!L41</f>
        <v/>
      </c>
      <c r="H43" s="204"/>
      <c r="I43" s="204"/>
      <c r="J43" s="200"/>
      <c r="K43" s="362"/>
      <c r="L43" s="203"/>
    </row>
    <row r="44" spans="2:12" ht="6" customHeight="1" thickBot="1">
      <c r="B44" s="213"/>
      <c r="C44" s="183"/>
      <c r="D44" s="184"/>
      <c r="E44" s="184"/>
      <c r="F44" s="195"/>
      <c r="G44" s="199"/>
      <c r="H44" s="184"/>
      <c r="I44" s="184"/>
      <c r="J44" s="199"/>
      <c r="K44" s="187"/>
      <c r="L44" s="198"/>
    </row>
    <row r="45" spans="2:12">
      <c r="B45" s="257" t="s">
        <v>561</v>
      </c>
      <c r="C45" s="185"/>
      <c r="D45" s="186"/>
      <c r="E45" s="186" t="s">
        <v>562</v>
      </c>
      <c r="F45" s="370"/>
      <c r="G45" s="175" t="s">
        <v>505</v>
      </c>
      <c r="H45" s="268" t="str">
        <f>+HL!I50</f>
        <v>―</v>
      </c>
      <c r="I45" s="176"/>
      <c r="J45" s="202"/>
      <c r="K45" s="202"/>
      <c r="L45" s="180"/>
    </row>
    <row r="46" spans="2:12">
      <c r="B46" s="260"/>
      <c r="C46" s="221"/>
      <c r="D46" s="222"/>
      <c r="E46" s="222"/>
      <c r="F46" s="222"/>
      <c r="G46" s="222" t="s">
        <v>621</v>
      </c>
      <c r="H46" s="594"/>
      <c r="I46" s="594"/>
      <c r="J46" s="223"/>
      <c r="K46" s="223" t="s">
        <v>668</v>
      </c>
      <c r="L46" s="266"/>
    </row>
    <row r="47" spans="2:12" ht="24">
      <c r="B47" s="529" t="s">
        <v>503</v>
      </c>
      <c r="C47" s="549" t="s">
        <v>504</v>
      </c>
      <c r="D47" s="550"/>
      <c r="E47" s="550"/>
      <c r="F47" s="593"/>
      <c r="G47" s="593"/>
      <c r="H47" s="224" t="str">
        <f>IF(HL!M51=1,"●Class 1 designated chemical","")</f>
        <v/>
      </c>
      <c r="I47" s="224"/>
      <c r="J47" s="265"/>
      <c r="K47" s="600" t="s">
        <v>682</v>
      </c>
      <c r="L47" s="601"/>
    </row>
    <row r="48" spans="2:12">
      <c r="B48" s="258" t="s">
        <v>502</v>
      </c>
      <c r="C48" s="309" t="s">
        <v>725</v>
      </c>
      <c r="D48" s="182"/>
      <c r="E48" s="182"/>
      <c r="F48" s="563" t="s">
        <v>127</v>
      </c>
      <c r="G48" s="563"/>
      <c r="H48" s="204"/>
      <c r="I48" s="204"/>
      <c r="J48" s="200"/>
      <c r="K48" s="200"/>
      <c r="L48" s="203"/>
    </row>
    <row r="49" spans="2:12">
      <c r="B49" s="258"/>
      <c r="C49" s="310" t="s">
        <v>726</v>
      </c>
      <c r="D49" s="264"/>
      <c r="E49" s="264"/>
      <c r="F49" s="564" t="s">
        <v>127</v>
      </c>
      <c r="G49" s="564"/>
      <c r="H49" s="174" t="str">
        <f>+IF(HL!M53=1,"●Class 1 designated chemical","")</f>
        <v/>
      </c>
      <c r="I49" s="174"/>
      <c r="J49" s="127"/>
      <c r="K49" s="589" t="s">
        <v>683</v>
      </c>
      <c r="L49" s="590"/>
    </row>
    <row r="50" spans="2:12" ht="12" customHeight="1" thickBot="1">
      <c r="B50" s="259"/>
      <c r="C50" s="306"/>
      <c r="D50" s="184"/>
      <c r="E50" s="184"/>
      <c r="F50" s="184"/>
      <c r="G50" s="184"/>
      <c r="H50" s="197" t="s">
        <v>0</v>
      </c>
      <c r="I50" s="197"/>
      <c r="J50" s="199"/>
      <c r="K50" s="591" t="s">
        <v>684</v>
      </c>
      <c r="L50" s="592"/>
    </row>
    <row r="51" spans="2:12">
      <c r="B51" s="269" t="s">
        <v>528</v>
      </c>
      <c r="C51" s="307" t="s">
        <v>537</v>
      </c>
      <c r="D51" s="270"/>
      <c r="E51" s="271" t="s">
        <v>136</v>
      </c>
      <c r="F51" s="464">
        <f>HL!K63</f>
        <v>0</v>
      </c>
      <c r="G51" s="271"/>
      <c r="H51" s="272"/>
      <c r="I51" s="272"/>
      <c r="J51" s="273"/>
      <c r="K51" s="273"/>
      <c r="L51" s="274" t="s">
        <v>686</v>
      </c>
    </row>
    <row r="52" spans="2:12" ht="19.5" thickBot="1">
      <c r="B52" s="275"/>
      <c r="C52" s="533" t="s">
        <v>529</v>
      </c>
      <c r="D52" s="276"/>
      <c r="E52" s="277"/>
      <c r="F52" s="278"/>
      <c r="G52" s="277"/>
      <c r="H52" s="279"/>
      <c r="I52" s="279"/>
      <c r="J52" s="280"/>
      <c r="K52" s="280"/>
      <c r="L52" s="281"/>
    </row>
    <row r="53" spans="2:12">
      <c r="B53" s="212"/>
      <c r="C53" s="308" t="s">
        <v>525</v>
      </c>
      <c r="D53" s="270"/>
      <c r="E53" s="271" t="s">
        <v>137</v>
      </c>
      <c r="F53" s="372"/>
      <c r="G53" s="271"/>
      <c r="H53" s="282" t="s">
        <v>526</v>
      </c>
      <c r="I53" s="282"/>
      <c r="J53" s="273"/>
      <c r="K53" s="273"/>
      <c r="L53" s="283"/>
    </row>
    <row r="54" spans="2:12">
      <c r="B54" s="406" t="s">
        <v>393</v>
      </c>
      <c r="C54" s="333" t="s">
        <v>524</v>
      </c>
      <c r="D54" s="284"/>
      <c r="E54" s="285"/>
      <c r="F54" s="286"/>
      <c r="G54" s="285"/>
      <c r="H54" s="287" t="s">
        <v>527</v>
      </c>
      <c r="I54" s="287"/>
      <c r="J54" s="288"/>
      <c r="K54" s="288"/>
      <c r="L54" s="289"/>
    </row>
    <row r="55" spans="2:12" ht="15.75" customHeight="1">
      <c r="B55" s="463">
        <f>F62</f>
        <v>0</v>
      </c>
      <c r="C55" s="334" t="s">
        <v>512</v>
      </c>
      <c r="D55" s="290"/>
      <c r="E55" s="291" t="s">
        <v>138</v>
      </c>
      <c r="F55" s="373"/>
      <c r="G55" s="291"/>
      <c r="H55" s="292" t="s">
        <v>564</v>
      </c>
      <c r="I55" s="292"/>
      <c r="J55" s="293"/>
      <c r="K55" s="336" t="s">
        <v>291</v>
      </c>
      <c r="L55" s="375" t="s">
        <v>661</v>
      </c>
    </row>
    <row r="56" spans="2:12" ht="13.5" customHeight="1">
      <c r="B56" s="424" t="str">
        <f>IF(B$55&gt;=5, "■","")</f>
        <v/>
      </c>
      <c r="C56" s="569" t="s">
        <v>620</v>
      </c>
      <c r="D56" s="570"/>
      <c r="E56" s="570"/>
      <c r="F56" s="294"/>
      <c r="G56" s="291"/>
      <c r="H56" s="292" t="s">
        <v>534</v>
      </c>
      <c r="I56" s="292"/>
      <c r="J56" s="293"/>
      <c r="K56" s="293"/>
      <c r="L56" s="295"/>
    </row>
    <row r="57" spans="2:12" ht="13.5" customHeight="1">
      <c r="B57" s="424" t="str">
        <f>IF(B$55&gt;=4, "■","")</f>
        <v/>
      </c>
      <c r="C57" s="571"/>
      <c r="D57" s="572"/>
      <c r="E57" s="572"/>
      <c r="F57" s="286"/>
      <c r="G57" s="285"/>
      <c r="H57" s="287" t="s">
        <v>535</v>
      </c>
      <c r="I57" s="287"/>
      <c r="J57" s="288"/>
      <c r="K57" s="288"/>
      <c r="L57" s="289"/>
    </row>
    <row r="58" spans="2:12" ht="13.5" customHeight="1">
      <c r="B58" s="410" t="str">
        <f>IF(B$55&gt;=3, "■","")</f>
        <v/>
      </c>
      <c r="C58" s="579" t="s">
        <v>530</v>
      </c>
      <c r="D58" s="580"/>
      <c r="E58" s="296" t="s">
        <v>139</v>
      </c>
      <c r="F58" s="374"/>
      <c r="G58" s="296"/>
      <c r="H58" s="297" t="s">
        <v>531</v>
      </c>
      <c r="I58" s="297"/>
      <c r="J58" s="298"/>
      <c r="K58" s="298"/>
      <c r="L58" s="299"/>
    </row>
    <row r="59" spans="2:12" ht="13.5" customHeight="1" thickBot="1">
      <c r="B59" s="429" t="str">
        <f>IF(B$55&gt;=2, "■","")</f>
        <v/>
      </c>
      <c r="C59" s="581"/>
      <c r="D59" s="582"/>
      <c r="E59" s="277"/>
      <c r="F59" s="280"/>
      <c r="G59" s="277"/>
      <c r="H59" s="300"/>
      <c r="I59" s="300"/>
      <c r="J59" s="280"/>
      <c r="K59" s="276"/>
      <c r="L59" s="281"/>
    </row>
    <row r="60" spans="2:12" ht="13.5" customHeight="1">
      <c r="B60" s="429" t="str">
        <f>IF(B$55&gt;=1, "■","")</f>
        <v/>
      </c>
      <c r="C60" s="583" t="s">
        <v>536</v>
      </c>
      <c r="D60" s="584"/>
      <c r="E60" s="271" t="s">
        <v>142</v>
      </c>
      <c r="F60" s="428"/>
      <c r="G60" s="271"/>
      <c r="H60" s="335" t="s">
        <v>540</v>
      </c>
      <c r="I60" s="301"/>
      <c r="J60" s="273"/>
      <c r="K60" s="270"/>
      <c r="L60" s="413">
        <f>RL!H17</f>
        <v>1</v>
      </c>
    </row>
    <row r="61" spans="2:12" ht="32.1" customHeight="1">
      <c r="B61" s="535" t="str">
        <f>IF(B55&gt;=4,"Risk level reduction measures are required.","")</f>
        <v/>
      </c>
      <c r="C61" s="585"/>
      <c r="D61" s="586"/>
      <c r="E61" s="291"/>
      <c r="F61" s="291"/>
      <c r="G61" s="291"/>
      <c r="H61" s="411" t="s">
        <v>541</v>
      </c>
      <c r="I61" s="412"/>
      <c r="J61" s="293"/>
      <c r="K61" s="290"/>
      <c r="L61" s="295"/>
    </row>
    <row r="62" spans="2:12" ht="21" customHeight="1" thickBot="1">
      <c r="B62" s="534" t="s">
        <v>544</v>
      </c>
      <c r="C62" s="565" t="s">
        <v>727</v>
      </c>
      <c r="D62" s="566"/>
      <c r="E62" s="566"/>
      <c r="F62" s="497">
        <f>RL!D18</f>
        <v>0</v>
      </c>
      <c r="G62" s="276"/>
      <c r="H62" s="485" t="s">
        <v>542</v>
      </c>
      <c r="I62" s="300"/>
      <c r="J62" s="300"/>
      <c r="K62" s="300"/>
      <c r="L62" s="476">
        <f>IF(COUNTIF(C82,"*無*"),0,1)</f>
        <v>0</v>
      </c>
    </row>
    <row r="63" spans="2:12" s="100" customFormat="1" ht="11.1" customHeight="1" thickBot="1">
      <c r="B63" s="466"/>
      <c r="C63" s="467"/>
      <c r="D63" s="468"/>
      <c r="E63" s="468"/>
      <c r="F63" s="468"/>
      <c r="G63" s="468"/>
      <c r="H63" s="468"/>
      <c r="I63" s="468"/>
      <c r="J63" s="468"/>
      <c r="K63" s="468"/>
      <c r="L63" s="469"/>
    </row>
    <row r="64" spans="2:12" ht="12" customHeight="1">
      <c r="B64" s="432"/>
      <c r="C64" s="189"/>
      <c r="D64" s="225"/>
      <c r="E64" s="225"/>
      <c r="F64" s="225"/>
      <c r="G64" s="225"/>
      <c r="H64" s="225"/>
      <c r="I64" s="225"/>
      <c r="J64" s="225"/>
      <c r="K64" s="225"/>
      <c r="L64" s="180"/>
    </row>
    <row r="65" spans="2:12" ht="13.5" customHeight="1">
      <c r="B65" s="433"/>
      <c r="C65" s="532" t="s">
        <v>523</v>
      </c>
      <c r="D65" s="191"/>
      <c r="E65" s="191" t="s">
        <v>559</v>
      </c>
      <c r="F65" s="421" t="str">
        <f>IF(HL!K58=1,"○","×")</f>
        <v>×</v>
      </c>
      <c r="G65" s="201"/>
      <c r="H65" s="414" t="s">
        <v>622</v>
      </c>
      <c r="I65" s="192"/>
      <c r="J65" s="191" t="s">
        <v>547</v>
      </c>
      <c r="K65" s="475" t="str">
        <f>IF(OR(HL!K76=1,F73&gt;3),"Required","－")</f>
        <v>－</v>
      </c>
      <c r="L65" s="295"/>
    </row>
    <row r="66" spans="2:12" ht="13.5" customHeight="1">
      <c r="B66" s="433"/>
      <c r="C66" s="190"/>
      <c r="D66" s="191"/>
      <c r="E66" s="191" t="s">
        <v>560</v>
      </c>
      <c r="F66" s="421" t="str">
        <f>IF(HL!K59=1,"○","×")</f>
        <v>×</v>
      </c>
      <c r="G66" s="201"/>
      <c r="H66" s="191"/>
      <c r="I66" s="192"/>
      <c r="J66" s="191" t="s">
        <v>548</v>
      </c>
      <c r="K66" s="475" t="str">
        <f>IF(HL!K59=1,"Required","－")</f>
        <v>－</v>
      </c>
      <c r="L66" s="434" t="str">
        <f>IF(HL!K59=1,"Danger of explosion","")</f>
        <v/>
      </c>
    </row>
    <row r="67" spans="2:12" ht="13.5" customHeight="1">
      <c r="B67" s="568" t="s">
        <v>552</v>
      </c>
      <c r="C67" s="192"/>
      <c r="D67" s="191"/>
      <c r="E67" s="191" t="s">
        <v>563</v>
      </c>
      <c r="F67" s="421" t="str">
        <f>IF(HL!K60=1,"○","×")</f>
        <v>×</v>
      </c>
      <c r="G67" s="431"/>
      <c r="H67" s="177"/>
      <c r="I67" s="192"/>
      <c r="J67" s="191" t="s">
        <v>549</v>
      </c>
      <c r="K67" s="475" t="str">
        <f>IF(HL!K60=1,"Required","－")</f>
        <v>－</v>
      </c>
      <c r="L67" s="434" t="str">
        <f>IF(HL!K60=1,"Highly flammable","")</f>
        <v/>
      </c>
    </row>
    <row r="68" spans="2:12" ht="13.5" customHeight="1">
      <c r="B68" s="568"/>
      <c r="C68" s="190"/>
      <c r="D68" s="192"/>
      <c r="E68" s="191" t="s">
        <v>521</v>
      </c>
      <c r="F68" s="421" t="str">
        <f>IF(HL!K62=1,"○","×")</f>
        <v>×</v>
      </c>
      <c r="G68" s="192"/>
      <c r="H68" s="192"/>
      <c r="I68" s="192"/>
      <c r="J68" s="191" t="s">
        <v>550</v>
      </c>
      <c r="K68" s="475" t="str">
        <f>IF(HL!K62=1,"Required","－")</f>
        <v>－</v>
      </c>
      <c r="L68" s="295"/>
    </row>
    <row r="69" spans="2:12" ht="13.5" customHeight="1">
      <c r="B69" s="568"/>
      <c r="C69" s="192"/>
      <c r="D69" s="192"/>
      <c r="E69" s="191" t="s">
        <v>522</v>
      </c>
      <c r="F69" s="421" t="str">
        <f>IF(HL!K61=1,"○","×")</f>
        <v>×</v>
      </c>
      <c r="G69" s="192"/>
      <c r="H69" s="192"/>
      <c r="I69" s="192"/>
      <c r="J69" s="191" t="s">
        <v>551</v>
      </c>
      <c r="K69" s="475" t="str">
        <f>IF(HL!K61=1,"Required","－")</f>
        <v>－</v>
      </c>
      <c r="L69" s="295"/>
    </row>
    <row r="70" spans="2:12" ht="2.25" customHeight="1">
      <c r="B70" s="568"/>
      <c r="C70" s="192"/>
      <c r="D70" s="192"/>
      <c r="E70" s="192"/>
      <c r="F70" s="192"/>
      <c r="G70" s="192"/>
      <c r="H70" s="192"/>
      <c r="I70" s="192"/>
      <c r="J70" s="192"/>
      <c r="K70" s="192"/>
      <c r="L70" s="417"/>
    </row>
    <row r="71" spans="2:12" ht="13.5" customHeight="1">
      <c r="B71" s="568"/>
      <c r="C71" s="423" t="s">
        <v>546</v>
      </c>
      <c r="D71" s="470" t="str">
        <f>IF(L60=0,"(Normal use conditions)","[Non-normal conditions]")</f>
        <v>[Non-normal conditions]</v>
      </c>
      <c r="E71" s="192"/>
      <c r="F71" s="192"/>
      <c r="G71" s="201"/>
      <c r="H71" s="422" t="s">
        <v>557</v>
      </c>
      <c r="I71" s="192"/>
      <c r="J71" s="192"/>
      <c r="K71" s="192"/>
      <c r="L71" s="417"/>
    </row>
    <row r="72" spans="2:12" ht="18" customHeight="1">
      <c r="B72" s="568"/>
      <c r="C72" s="415"/>
      <c r="D72" s="256"/>
      <c r="E72" s="484" t="s">
        <v>554</v>
      </c>
      <c r="F72" s="501">
        <f>HL!K63</f>
        <v>0</v>
      </c>
      <c r="G72" s="82"/>
      <c r="H72" s="192"/>
      <c r="I72" s="359"/>
      <c r="J72" s="359"/>
      <c r="K72" s="416" t="str">
        <f>IF(HL!N55=1,HL!L67&amp;"Specified","")</f>
        <v/>
      </c>
      <c r="L72" s="381"/>
    </row>
    <row r="73" spans="2:12" ht="27" customHeight="1">
      <c r="B73" s="568"/>
      <c r="C73" s="548" t="s">
        <v>685</v>
      </c>
      <c r="D73" s="587" t="s">
        <v>555</v>
      </c>
      <c r="E73" s="588"/>
      <c r="F73" s="500">
        <f>F62</f>
        <v>0</v>
      </c>
      <c r="G73" s="486" t="str">
        <f>IF(F62&gt;=4,"Measures are required",IF(F62=0,"Un evaluated",""))</f>
        <v>Un evaluated</v>
      </c>
      <c r="H73" s="192"/>
      <c r="I73" s="487" t="str">
        <f>HL!L72</f>
        <v/>
      </c>
      <c r="J73" s="192"/>
      <c r="K73" s="487" t="str">
        <f>HL!L74</f>
        <v>Oxidation</v>
      </c>
      <c r="L73" s="488" t="str">
        <f>HL!L66</f>
        <v/>
      </c>
    </row>
    <row r="74" spans="2:12" ht="3" customHeight="1" thickBot="1">
      <c r="B74" s="418"/>
      <c r="C74" s="183"/>
      <c r="D74" s="184"/>
      <c r="E74" s="184"/>
      <c r="F74" s="195"/>
      <c r="G74" s="199"/>
      <c r="H74" s="184"/>
      <c r="I74" s="184"/>
      <c r="J74" s="199"/>
      <c r="K74" s="187"/>
      <c r="L74" s="198"/>
    </row>
    <row r="75" spans="2:12" ht="24.95" customHeight="1">
      <c r="B75" s="567" t="s">
        <v>556</v>
      </c>
      <c r="C75" s="540" t="str">
        <f>IF(縮小版data!D11="","",縮小版data!D11)</f>
        <v/>
      </c>
      <c r="D75" s="577" t="str">
        <f>IF(縮小版data!E11="","",縮小版data!E11)</f>
        <v xml:space="preserve"> </v>
      </c>
      <c r="E75" s="577"/>
      <c r="F75" s="577"/>
      <c r="G75" s="577"/>
      <c r="H75" s="577"/>
      <c r="I75" s="577"/>
      <c r="J75" s="577"/>
      <c r="K75" s="577"/>
      <c r="L75" s="578"/>
    </row>
    <row r="76" spans="2:12" ht="24" customHeight="1">
      <c r="B76" s="567"/>
      <c r="C76" s="541" t="str">
        <f>IF(縮小版data!D12="","",縮小版data!D12)</f>
        <v/>
      </c>
      <c r="D76" s="575" t="str">
        <f>IF(縮小版data!E12="","",縮小版data!E12)</f>
        <v/>
      </c>
      <c r="E76" s="575"/>
      <c r="F76" s="575"/>
      <c r="G76" s="575"/>
      <c r="H76" s="575"/>
      <c r="I76" s="575"/>
      <c r="J76" s="575"/>
      <c r="K76" s="575"/>
      <c r="L76" s="576"/>
    </row>
    <row r="77" spans="2:12" ht="26.1" customHeight="1">
      <c r="B77" s="465"/>
      <c r="C77" s="541" t="str">
        <f>IF(縮小版data!D9="","",縮小版data!D9)</f>
        <v/>
      </c>
      <c r="D77" s="575" t="str">
        <f>IF(縮小版data!E9="","",縮小版data!E9)</f>
        <v/>
      </c>
      <c r="E77" s="575"/>
      <c r="F77" s="575"/>
      <c r="G77" s="575"/>
      <c r="H77" s="575"/>
      <c r="I77" s="575"/>
      <c r="J77" s="575"/>
      <c r="K77" s="575"/>
      <c r="L77" s="576"/>
    </row>
    <row r="78" spans="2:12" ht="24.95" customHeight="1" thickBot="1">
      <c r="B78" s="407"/>
      <c r="C78" s="542" t="str">
        <f>IF(縮小版data!D10="","",縮小版data!D10)</f>
        <v/>
      </c>
      <c r="D78" s="573" t="str">
        <f>IF(縮小版data!E10="","",縮小版data!E10)</f>
        <v/>
      </c>
      <c r="E78" s="573"/>
      <c r="F78" s="573"/>
      <c r="G78" s="573"/>
      <c r="H78" s="573"/>
      <c r="I78" s="573"/>
      <c r="J78" s="573"/>
      <c r="K78" s="573"/>
      <c r="L78" s="574"/>
    </row>
    <row r="79" spans="2:12" ht="9.75" customHeight="1">
      <c r="B79" s="561" t="s">
        <v>553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34"/>
    </row>
    <row r="80" spans="2:12" ht="9.75" customHeight="1" thickBot="1">
      <c r="B80" s="562"/>
      <c r="C80" s="194"/>
      <c r="D80" s="194"/>
      <c r="E80" s="194"/>
      <c r="F80" s="194"/>
      <c r="G80" s="194"/>
      <c r="H80" s="194"/>
      <c r="I80" s="194"/>
      <c r="J80" s="194"/>
      <c r="K80" s="194"/>
      <c r="L80" s="235"/>
    </row>
    <row r="81" spans="2:10">
      <c r="B81" s="233" t="str">
        <f>"     ver 4.6"&amp;"       "</f>
        <v xml:space="preserve">     ver 4.6       </v>
      </c>
      <c r="C81" s="125" t="s">
        <v>703</v>
      </c>
      <c r="G81" s="125" t="s">
        <v>702</v>
      </c>
      <c r="J81" s="125" t="s">
        <v>410</v>
      </c>
    </row>
    <row r="82" spans="2:10">
      <c r="C82" s="498" t="s">
        <v>417</v>
      </c>
      <c r="D82" s="498" t="s">
        <v>484</v>
      </c>
      <c r="F82" s="125" t="s">
        <v>297</v>
      </c>
    </row>
  </sheetData>
  <sheetProtection formatCells="0"/>
  <dataConsolidate/>
  <mergeCells count="69">
    <mergeCell ref="K27:L27"/>
    <mergeCell ref="K28:L28"/>
    <mergeCell ref="K26:L26"/>
    <mergeCell ref="K31:L31"/>
    <mergeCell ref="K32:L32"/>
    <mergeCell ref="K33:L33"/>
    <mergeCell ref="C8:H8"/>
    <mergeCell ref="J9:K9"/>
    <mergeCell ref="J11:K11"/>
    <mergeCell ref="J10:K10"/>
    <mergeCell ref="C23:E23"/>
    <mergeCell ref="H17:I17"/>
    <mergeCell ref="K29:L29"/>
    <mergeCell ref="J8:K8"/>
    <mergeCell ref="K15:L15"/>
    <mergeCell ref="K16:L16"/>
    <mergeCell ref="K17:L17"/>
    <mergeCell ref="K18:L18"/>
    <mergeCell ref="K19:L19"/>
    <mergeCell ref="K20:L20"/>
    <mergeCell ref="K23:L23"/>
    <mergeCell ref="F47:G47"/>
    <mergeCell ref="H46:I46"/>
    <mergeCell ref="F10:G10"/>
    <mergeCell ref="K12:L12"/>
    <mergeCell ref="K13:L13"/>
    <mergeCell ref="K14:L14"/>
    <mergeCell ref="K30:L30"/>
    <mergeCell ref="K37:L37"/>
    <mergeCell ref="K47:L47"/>
    <mergeCell ref="H14:I14"/>
    <mergeCell ref="H15:I15"/>
    <mergeCell ref="H20:I20"/>
    <mergeCell ref="H18:I18"/>
    <mergeCell ref="H19:I19"/>
    <mergeCell ref="H13:I13"/>
    <mergeCell ref="H16:I16"/>
    <mergeCell ref="B79:B80"/>
    <mergeCell ref="F48:G48"/>
    <mergeCell ref="F49:G49"/>
    <mergeCell ref="C62:E62"/>
    <mergeCell ref="B75:B76"/>
    <mergeCell ref="B67:B73"/>
    <mergeCell ref="C56:E57"/>
    <mergeCell ref="D78:L78"/>
    <mergeCell ref="D77:L77"/>
    <mergeCell ref="D76:L76"/>
    <mergeCell ref="D75:L75"/>
    <mergeCell ref="C58:D59"/>
    <mergeCell ref="C60:D61"/>
    <mergeCell ref="D73:E73"/>
    <mergeCell ref="K49:L49"/>
    <mergeCell ref="K50:L50"/>
    <mergeCell ref="C47:E47"/>
    <mergeCell ref="C24:E24"/>
    <mergeCell ref="C39:E39"/>
    <mergeCell ref="C42:E42"/>
    <mergeCell ref="H12:I12"/>
    <mergeCell ref="H26:I26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</mergeCells>
  <phoneticPr fontId="6"/>
  <conditionalFormatting sqref="F73">
    <cfRule type="expression" dxfId="11" priority="10">
      <formula>$F$62=3</formula>
    </cfRule>
    <cfRule type="expression" dxfId="10" priority="11">
      <formula>$F$62&gt;=4</formula>
    </cfRule>
  </conditionalFormatting>
  <conditionalFormatting sqref="F65">
    <cfRule type="expression" dxfId="9" priority="9">
      <formula>$F$65="○"</formula>
    </cfRule>
  </conditionalFormatting>
  <conditionalFormatting sqref="F66">
    <cfRule type="expression" dxfId="8" priority="8">
      <formula>$F$66="○"</formula>
    </cfRule>
  </conditionalFormatting>
  <conditionalFormatting sqref="F67">
    <cfRule type="expression" dxfId="7" priority="7">
      <formula>$F$67="○"</formula>
    </cfRule>
  </conditionalFormatting>
  <conditionalFormatting sqref="F68">
    <cfRule type="expression" dxfId="6" priority="6">
      <formula>$F$68="○"</formula>
    </cfRule>
  </conditionalFormatting>
  <conditionalFormatting sqref="F69">
    <cfRule type="expression" dxfId="5" priority="5">
      <formula>$F$69="○"</formula>
    </cfRule>
  </conditionalFormatting>
  <conditionalFormatting sqref="B17:B23">
    <cfRule type="expression" dxfId="4" priority="4">
      <formula>AND($G$12&lt;&gt;"CRA",$G$12&lt;&gt;"CRA")</formula>
    </cfRule>
  </conditionalFormatting>
  <conditionalFormatting sqref="G13:G14 G16:G18 G20 G23">
    <cfRule type="expression" dxfId="3" priority="3">
      <formula>AND($G$12&lt;&gt;"CRA",$G$12&lt;&gt;"CRA")</formula>
    </cfRule>
  </conditionalFormatting>
  <conditionalFormatting sqref="G15 G19 G21:G22 G24">
    <cfRule type="expression" dxfId="2" priority="2">
      <formula>AND($G$12&lt;&gt;"CRA",$G$12&lt;&gt;"CRA")</formula>
    </cfRule>
  </conditionalFormatting>
  <conditionalFormatting sqref="B54:B60">
    <cfRule type="expression" dxfId="1" priority="1">
      <formula>$L$62=0</formula>
    </cfRule>
  </conditionalFormatting>
  <dataValidations count="3">
    <dataValidation type="list" allowBlank="1" showInputMessage="1" showErrorMessage="1" sqref="F47">
      <formula1>毒劇物分類</formula1>
    </dataValidation>
    <dataValidation type="list" allowBlank="1" showInputMessage="1" showErrorMessage="1" sqref="F48">
      <formula1>有機溶剤</formula1>
    </dataValidation>
    <dataValidation type="list" allowBlank="1" showInputMessage="1" showErrorMessage="1" sqref="F49">
      <formula1>特化物</formula1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法規!$H$10:$H$20</xm:f>
          </x14:formula1>
          <xm:sqref>H46:I46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1"/>
  <sheetViews>
    <sheetView workbookViewId="0">
      <selection activeCell="M8" sqref="M8"/>
    </sheetView>
  </sheetViews>
  <sheetFormatPr defaultColWidth="8.875" defaultRowHeight="16.5"/>
  <cols>
    <col min="1" max="1" width="0.625" style="143" customWidth="1"/>
    <col min="2" max="2" width="9.625" style="143" customWidth="1"/>
    <col min="3" max="3" width="9.125" style="143" customWidth="1"/>
    <col min="4" max="4" width="5.875" style="143" customWidth="1"/>
    <col min="5" max="5" width="8.5" style="143" customWidth="1"/>
    <col min="6" max="6" width="1" style="143" customWidth="1"/>
    <col min="7" max="7" width="15.375" style="143" customWidth="1"/>
    <col min="8" max="9" width="9" style="143" customWidth="1"/>
    <col min="10" max="10" width="8.875" style="143" customWidth="1"/>
    <col min="11" max="11" width="14.5" style="143" customWidth="1"/>
    <col min="12" max="12" width="9" style="143" customWidth="1"/>
    <col min="13" max="13" width="12" style="143" customWidth="1"/>
    <col min="14" max="16384" width="8.875" style="143"/>
  </cols>
  <sheetData>
    <row r="1" spans="1:13" ht="12.75" customHeight="1"/>
    <row r="2" spans="1:13" ht="16.5" customHeight="1">
      <c r="B2" s="618" t="s">
        <v>268</v>
      </c>
      <c r="C2" s="618"/>
      <c r="E2" s="316"/>
    </row>
    <row r="3" spans="1:13" ht="12.75" customHeight="1">
      <c r="M3" s="483" t="s">
        <v>689</v>
      </c>
    </row>
    <row r="4" spans="1:13" ht="12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6.5" customHeight="1">
      <c r="A5" s="314"/>
      <c r="B5" s="619" t="str">
        <f>IF(縮小版data!B5:D7="","",縮小版data!B5:D7)</f>
        <v>Sample name 　試薬名</v>
      </c>
      <c r="C5" s="619"/>
      <c r="D5" s="619"/>
      <c r="E5" s="620" t="str">
        <f>IF(縮小版data!E5:E7="","",縮小版data!E5:H7)</f>
        <v/>
      </c>
      <c r="F5" s="311"/>
      <c r="G5" s="621" t="str">
        <f>IF(縮小版data!G5:I7="","",縮小版data!G5:I7)</f>
        <v>SDS
Confirmation</v>
      </c>
      <c r="H5" s="148" t="str">
        <f>IF(縮小版data!H5:J7="","",縮小版data!H5:J7)</f>
        <v/>
      </c>
      <c r="I5" s="149" t="str">
        <f>IF(縮小版data!I5:K7="","",縮小版data!I5:K7)</f>
        <v/>
      </c>
      <c r="J5" s="149" t="str">
        <f>IF(縮小版data!J5:L7="","",縮小版data!J5:L7)</f>
        <v/>
      </c>
      <c r="K5" s="148" t="str">
        <f>IF(縮小版data!K5:M7="","",縮小版data!K5:M7)</f>
        <v/>
      </c>
      <c r="L5" s="150" t="str">
        <f>IF(縮小版data!L5:N7="","",縮小版data!L5:N7)</f>
        <v/>
      </c>
      <c r="M5" s="623" t="str">
        <f>IF(縮小版data!M5:O7="","",縮小版data!M5:O7)</f>
        <v>Not necessary</v>
      </c>
    </row>
    <row r="6" spans="1:13" ht="16.5" customHeight="1">
      <c r="A6" s="314"/>
      <c r="B6" s="619"/>
      <c r="C6" s="619"/>
      <c r="D6" s="619"/>
      <c r="E6" s="620" t="str">
        <f>IF(縮小版data!E6:H8="","",縮小版data!E6:H8)</f>
        <v/>
      </c>
      <c r="F6" s="311"/>
      <c r="G6" s="622" t="str">
        <f>IF(縮小版data!G6:I8="","",縮小版data!G6:I8)</f>
        <v/>
      </c>
      <c r="H6" s="151" t="str">
        <f>IF(縮小版data!H6:J8="","",縮小版data!H6:J8)</f>
        <v/>
      </c>
      <c r="I6" s="152" t="str">
        <f>IF(縮小版data!I6:K8="","",縮小版data!I6:K8)</f>
        <v/>
      </c>
      <c r="J6" s="165" t="str">
        <f>IF(縮小版data!J6:L8="","",縮小版data!J6:L8)</f>
        <v/>
      </c>
      <c r="K6" s="624" t="str">
        <f>IF(縮小版data!K6:M8="","",縮小版data!K6:M8)</f>
        <v/>
      </c>
      <c r="L6" s="625"/>
      <c r="M6" s="623" t="str">
        <f>IF(縮小版data!M6:O8="","",縮小版data!M6:O8)</f>
        <v/>
      </c>
    </row>
    <row r="7" spans="1:13" ht="16.5" customHeight="1">
      <c r="A7" s="314"/>
      <c r="B7" s="619"/>
      <c r="C7" s="619"/>
      <c r="D7" s="619"/>
      <c r="E7" s="620" t="str">
        <f>IF(縮小版data!E7:H11="","",縮小版data!E7:H11)</f>
        <v/>
      </c>
      <c r="F7" s="312"/>
      <c r="G7" s="148" t="str">
        <f>IF(縮小版data!G7:I11="","",縮小版data!G7:I11)</f>
        <v>Detail evaluation</v>
      </c>
      <c r="H7" s="148" t="str">
        <f>IF(縮小版data!H7:J11="","",縮小版data!H7:J11)</f>
        <v>Non-normal use</v>
      </c>
      <c r="I7" s="247" t="str">
        <f>IF(縮小版data!I7:K11="","",縮小版data!I7:K11)</f>
        <v/>
      </c>
      <c r="J7" s="154" t="str">
        <f>IF(縮小版data!J7:L11="","",縮小版data!J7:L11)</f>
        <v/>
      </c>
      <c r="K7" s="155" t="s">
        <v>687</v>
      </c>
      <c r="L7" s="318">
        <f>IF(縮小版data!L7:N11="","",縮小版data!L7:N11)</f>
        <v>0</v>
      </c>
      <c r="M7" s="482" t="str">
        <f>IF(縮小版data!M7:O11="","",縮小版data!M7:O11)</f>
        <v>(For non-experiments）</v>
      </c>
    </row>
    <row r="8" spans="1:13" ht="16.5" customHeight="1">
      <c r="A8" s="153"/>
      <c r="B8" s="315" t="str">
        <f>IF(縮小版data!B8="","",縮小版data!B8)</f>
        <v/>
      </c>
      <c r="C8" s="337" t="str">
        <f>IF(縮小版data!C8="","",縮小版data!C8)</f>
        <v/>
      </c>
      <c r="D8" s="365"/>
      <c r="E8" s="363" t="str">
        <f>縮小版data!E8</f>
        <v>Oxidation</v>
      </c>
      <c r="F8" s="313"/>
      <c r="G8" s="151" t="str">
        <f>IF(縮小版data!G8:I12="","",縮小版data!G8:I12)</f>
        <v xml:space="preserve"> </v>
      </c>
      <c r="H8" s="151" t="str">
        <f>IF(縮小版data!H8:J12="","",縮小版data!H8:J12)</f>
        <v/>
      </c>
      <c r="I8" s="248" t="str">
        <f>IF(縮小版data!I8:K12="","",縮小版data!I8:K12)</f>
        <v>Confact frequency more than 12.5%</v>
      </c>
      <c r="J8" s="157" t="str">
        <f>IF(縮小版data!J8:L12="","",縮小版data!J8:L12)</f>
        <v/>
      </c>
      <c r="K8" s="158" t="s">
        <v>688</v>
      </c>
      <c r="L8" s="319">
        <f>IF(縮小版data!L8:N12="","",縮小版data!L8:N12)</f>
        <v>0</v>
      </c>
      <c r="M8" s="315" t="str">
        <f>IF(縮小版data!M8:O12="","",縮小版data!M8:O12)</f>
        <v>Not necessary</v>
      </c>
    </row>
    <row r="9" spans="1:13" s="128" customFormat="1" ht="11.25" customHeight="1">
      <c r="A9" s="170"/>
      <c r="B9" s="338" t="str">
        <f>IF(縮小版data!B9="","",縮小版data!B9)</f>
        <v>b.p. 65 C</v>
      </c>
      <c r="C9" s="172"/>
      <c r="D9" s="170" t="str">
        <f>IF(縮小版data!D9="","",縮小版data!D9)</f>
        <v/>
      </c>
      <c r="E9" s="617" t="str">
        <f>IF(縮小版data!E9="","",縮小版data!E9)</f>
        <v/>
      </c>
      <c r="F9" s="617"/>
      <c r="G9" s="617"/>
      <c r="H9" s="617"/>
      <c r="I9" s="617"/>
      <c r="J9" s="617"/>
      <c r="K9" s="617"/>
      <c r="L9" s="617"/>
      <c r="M9" s="617"/>
    </row>
    <row r="10" spans="1:13" s="128" customFormat="1" ht="11.25" customHeight="1">
      <c r="A10" s="170"/>
      <c r="B10" s="171"/>
      <c r="C10" s="170"/>
      <c r="D10" s="170" t="str">
        <f>IF(縮小版data!D10="","",縮小版data!D10)</f>
        <v/>
      </c>
      <c r="E10" s="617" t="str">
        <f>IF(縮小版data!E10="","",縮小版data!E10)</f>
        <v/>
      </c>
      <c r="F10" s="617"/>
      <c r="G10" s="617"/>
      <c r="H10" s="617"/>
      <c r="I10" s="617"/>
      <c r="J10" s="617"/>
      <c r="K10" s="617"/>
      <c r="L10" s="617"/>
      <c r="M10" s="617"/>
    </row>
    <row r="11" spans="1:13" s="169" customFormat="1" ht="11.25" customHeight="1">
      <c r="A11" s="171"/>
      <c r="B11" s="385" t="str">
        <f>IF(縮小版data!B12="","","指定物３")</f>
        <v/>
      </c>
      <c r="C11" s="171"/>
      <c r="D11" s="170" t="str">
        <f>IF(縮小版data!D11="","",縮小版data!D11)</f>
        <v/>
      </c>
      <c r="E11" s="617" t="str">
        <f>IF(縮小版data!E11="","",縮小版data!E11)</f>
        <v xml:space="preserve"> </v>
      </c>
      <c r="F11" s="617"/>
      <c r="G11" s="617"/>
      <c r="H11" s="617"/>
      <c r="I11" s="617"/>
      <c r="J11" s="617"/>
      <c r="K11" s="617"/>
      <c r="L11" s="617"/>
      <c r="M11" s="617"/>
    </row>
    <row r="12" spans="1:13" s="169" customFormat="1" ht="11.25" customHeight="1">
      <c r="A12" s="171"/>
      <c r="B12" s="171" t="str">
        <f>IF(縮小版data!B12="","",縮小版data!B12)</f>
        <v/>
      </c>
      <c r="C12" s="171"/>
      <c r="D12" s="170" t="str">
        <f>IF(縮小版data!D12="","",縮小版data!D12)</f>
        <v/>
      </c>
      <c r="E12" s="617" t="str">
        <f>IF(縮小版data!E12="","",縮小版data!E12)</f>
        <v/>
      </c>
      <c r="F12" s="617"/>
      <c r="G12" s="617"/>
      <c r="H12" s="617"/>
      <c r="I12" s="617"/>
      <c r="J12" s="617"/>
      <c r="K12" s="617"/>
      <c r="L12" s="617"/>
      <c r="M12" s="617"/>
    </row>
    <row r="13" spans="1:13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8" spans="1:13">
      <c r="D18" s="143" t="s">
        <v>406</v>
      </c>
    </row>
    <row r="19" spans="1:13">
      <c r="D19" s="143" t="s">
        <v>416</v>
      </c>
    </row>
    <row r="21" spans="1:13">
      <c r="B21" s="474" t="s">
        <v>411</v>
      </c>
      <c r="D21" s="495" t="s">
        <v>212</v>
      </c>
      <c r="F21" s="144" t="s">
        <v>214</v>
      </c>
      <c r="J21" s="491" t="s">
        <v>216</v>
      </c>
    </row>
    <row r="22" spans="1:13">
      <c r="D22" s="496" t="s">
        <v>213</v>
      </c>
      <c r="F22" s="143" t="s">
        <v>413</v>
      </c>
      <c r="H22" s="144"/>
      <c r="J22" s="490" t="s">
        <v>414</v>
      </c>
    </row>
    <row r="23" spans="1:13">
      <c r="D23" s="496" t="s">
        <v>217</v>
      </c>
      <c r="F23" s="491" t="s">
        <v>407</v>
      </c>
      <c r="G23" s="491"/>
    </row>
    <row r="25" spans="1:13">
      <c r="D25" s="143" t="s">
        <v>408</v>
      </c>
    </row>
    <row r="26" spans="1:13">
      <c r="B26" s="145"/>
    </row>
    <row r="27" spans="1:13">
      <c r="B27" s="145"/>
    </row>
    <row r="29" spans="1:13" ht="18" customHeight="1">
      <c r="B29" s="618" t="s">
        <v>409</v>
      </c>
      <c r="C29" s="618"/>
    </row>
    <row r="30" spans="1:13" ht="18" customHeight="1">
      <c r="A30" s="339"/>
      <c r="B30" s="340" t="s">
        <v>277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3.5" customHeight="1">
      <c r="A31" s="341"/>
      <c r="B31" s="419" t="s">
        <v>276</v>
      </c>
      <c r="C31" s="419"/>
      <c r="D31" s="419"/>
      <c r="E31" s="420" t="s">
        <v>207</v>
      </c>
      <c r="F31" s="339"/>
      <c r="G31" s="615" t="s">
        <v>261</v>
      </c>
      <c r="H31" s="342" t="s">
        <v>60</v>
      </c>
      <c r="I31" s="343" t="s">
        <v>59</v>
      </c>
      <c r="J31" s="344" t="s">
        <v>245</v>
      </c>
      <c r="K31" s="343" t="s">
        <v>233</v>
      </c>
      <c r="L31" s="344" t="s">
        <v>211</v>
      </c>
      <c r="M31" s="345" t="s">
        <v>253</v>
      </c>
    </row>
    <row r="32" spans="1:13">
      <c r="A32" s="341"/>
      <c r="B32" s="419"/>
      <c r="C32" s="419"/>
      <c r="D32" s="419"/>
      <c r="E32" s="420"/>
      <c r="F32" s="339"/>
      <c r="G32" s="616"/>
      <c r="H32" s="346" t="s">
        <v>208</v>
      </c>
      <c r="I32" s="347" t="s">
        <v>209</v>
      </c>
      <c r="J32" s="348" t="s">
        <v>203</v>
      </c>
      <c r="K32" s="347" t="s">
        <v>220</v>
      </c>
      <c r="L32" s="348" t="s">
        <v>210</v>
      </c>
      <c r="M32" s="345" t="s">
        <v>254</v>
      </c>
    </row>
    <row r="33" spans="1:13">
      <c r="A33" s="341"/>
      <c r="B33" s="419"/>
      <c r="C33" s="419"/>
      <c r="D33" s="419"/>
      <c r="E33" s="420"/>
      <c r="F33" s="339"/>
      <c r="G33" s="342" t="s">
        <v>278</v>
      </c>
      <c r="H33" s="342" t="s">
        <v>246</v>
      </c>
      <c r="I33" s="349" t="s">
        <v>266</v>
      </c>
      <c r="J33" s="344"/>
      <c r="K33" s="350" t="s">
        <v>292</v>
      </c>
      <c r="L33" s="351">
        <v>5</v>
      </c>
      <c r="M33" s="345" t="s">
        <v>269</v>
      </c>
    </row>
    <row r="34" spans="1:13">
      <c r="A34" s="339"/>
      <c r="B34" s="386" t="s">
        <v>264</v>
      </c>
      <c r="C34" s="339" t="s">
        <v>263</v>
      </c>
      <c r="D34" s="339"/>
      <c r="E34" s="345" t="s">
        <v>281</v>
      </c>
      <c r="F34" s="339"/>
      <c r="G34" s="346" t="s">
        <v>247</v>
      </c>
      <c r="H34" s="346" t="s">
        <v>248</v>
      </c>
      <c r="I34" s="353" t="s">
        <v>267</v>
      </c>
      <c r="J34" s="348"/>
      <c r="K34" s="489" t="s">
        <v>412</v>
      </c>
      <c r="L34" s="354">
        <v>5</v>
      </c>
      <c r="M34" s="339"/>
    </row>
    <row r="35" spans="1:13">
      <c r="A35" s="339"/>
      <c r="B35" s="345" t="s">
        <v>280</v>
      </c>
      <c r="C35" s="352"/>
      <c r="D35" s="355" t="s">
        <v>239</v>
      </c>
      <c r="E35" s="352" t="s">
        <v>270</v>
      </c>
      <c r="F35" s="352"/>
      <c r="G35" s="339"/>
      <c r="H35" s="339"/>
      <c r="I35" s="352" t="s">
        <v>274</v>
      </c>
      <c r="J35" s="339"/>
      <c r="K35" s="339"/>
      <c r="L35" s="339"/>
      <c r="M35" s="339"/>
    </row>
    <row r="36" spans="1:13">
      <c r="A36" s="339"/>
      <c r="B36" s="339"/>
      <c r="C36" s="339"/>
      <c r="D36" s="352" t="s">
        <v>240</v>
      </c>
      <c r="E36" s="356" t="s">
        <v>271</v>
      </c>
      <c r="F36" s="356"/>
      <c r="G36" s="339"/>
      <c r="H36" s="339"/>
      <c r="I36" s="339"/>
      <c r="J36" s="339"/>
      <c r="K36" s="339"/>
      <c r="L36" s="339"/>
      <c r="M36" s="352" t="s">
        <v>274</v>
      </c>
    </row>
    <row r="37" spans="1:13">
      <c r="A37" s="339"/>
      <c r="B37" s="352" t="s">
        <v>298</v>
      </c>
      <c r="C37" s="339"/>
      <c r="D37" s="352" t="s">
        <v>538</v>
      </c>
      <c r="E37" s="355" t="s">
        <v>273</v>
      </c>
      <c r="F37" s="355"/>
      <c r="G37" s="355"/>
      <c r="H37" s="339"/>
      <c r="I37" s="339"/>
      <c r="J37" s="339"/>
      <c r="K37" s="339"/>
      <c r="L37" s="339"/>
      <c r="M37" s="339"/>
    </row>
    <row r="38" spans="1:13">
      <c r="A38" s="339"/>
      <c r="B38" s="352" t="s">
        <v>299</v>
      </c>
      <c r="C38" s="339"/>
      <c r="D38" s="352" t="s">
        <v>539</v>
      </c>
      <c r="E38" s="355" t="s">
        <v>272</v>
      </c>
      <c r="F38" s="355"/>
      <c r="G38" s="339"/>
      <c r="H38" s="339"/>
      <c r="I38" s="352" t="s">
        <v>274</v>
      </c>
      <c r="J38" s="339"/>
      <c r="K38" s="339"/>
      <c r="L38" s="339"/>
      <c r="M38" s="339"/>
    </row>
    <row r="40" spans="1:13">
      <c r="D40" s="143" t="s">
        <v>296</v>
      </c>
    </row>
    <row r="76" ht="14.25" customHeight="1"/>
    <row r="77" ht="13.5" customHeight="1"/>
    <row r="78" ht="14.25" customHeight="1"/>
    <row r="79" ht="20.25" customHeight="1"/>
    <row r="80" ht="20.25" customHeight="1"/>
    <row r="81" ht="14.25" customHeight="1"/>
  </sheetData>
  <mergeCells count="12">
    <mergeCell ref="G31:G32"/>
    <mergeCell ref="E11:M11"/>
    <mergeCell ref="E12:M12"/>
    <mergeCell ref="B29:C29"/>
    <mergeCell ref="B2:C2"/>
    <mergeCell ref="B5:D7"/>
    <mergeCell ref="E5:E7"/>
    <mergeCell ref="G5:G6"/>
    <mergeCell ref="M5:M6"/>
    <mergeCell ref="E9:M9"/>
    <mergeCell ref="E10:M10"/>
    <mergeCell ref="K6:L6"/>
  </mergeCells>
  <phoneticPr fontId="6"/>
  <conditionalFormatting sqref="L8">
    <cfRule type="expression" dxfId="0" priority="1">
      <formula>$L$8&gt;=4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4"/>
  <sheetViews>
    <sheetView topLeftCell="B1" workbookViewId="0">
      <selection activeCell="E9" sqref="E9:M9"/>
    </sheetView>
  </sheetViews>
  <sheetFormatPr defaultColWidth="8.875" defaultRowHeight="16.5"/>
  <cols>
    <col min="1" max="1" width="0.625" style="143" customWidth="1"/>
    <col min="2" max="2" width="9.625" style="143" customWidth="1"/>
    <col min="3" max="3" width="9.125" style="143" customWidth="1"/>
    <col min="4" max="4" width="19.375" style="143" customWidth="1"/>
    <col min="5" max="5" width="8.625" style="143" customWidth="1"/>
    <col min="6" max="6" width="1.5" style="143" customWidth="1"/>
    <col min="7" max="7" width="14.375" style="143" customWidth="1"/>
    <col min="8" max="8" width="11.5" style="143" customWidth="1"/>
    <col min="9" max="9" width="12" style="143" customWidth="1"/>
    <col min="10" max="10" width="8.875" style="143" customWidth="1"/>
    <col min="11" max="11" width="13.375" style="143" customWidth="1"/>
    <col min="12" max="12" width="13" style="143" customWidth="1"/>
    <col min="13" max="13" width="17.5" style="143" customWidth="1"/>
    <col min="14" max="16384" width="8.875" style="143"/>
  </cols>
  <sheetData>
    <row r="1" spans="1:13" ht="12.75" customHeight="1"/>
    <row r="2" spans="1:13" ht="16.5" customHeight="1">
      <c r="B2" s="618" t="s">
        <v>268</v>
      </c>
      <c r="C2" s="618"/>
    </row>
    <row r="3" spans="1:13" ht="12.75" customHeight="1"/>
    <row r="4" spans="1:13" ht="12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6.5" customHeight="1">
      <c r="A5" s="314"/>
      <c r="B5" s="629" t="str">
        <f>+実施シート!C8</f>
        <v>Sample name 　試薬名</v>
      </c>
      <c r="C5" s="629"/>
      <c r="D5" s="629"/>
      <c r="E5" s="630" t="str">
        <f>IF(P36=1,"less than 1kg ",IF(P36=2,"less than 1ton",IF(P36=3,"more than 1ton ",IF(P36=4,"less than 1g",IF(P36=5,"less than  10g ","")))))</f>
        <v/>
      </c>
      <c r="F5" s="311"/>
      <c r="G5" s="621" t="s">
        <v>651</v>
      </c>
      <c r="H5" s="536" t="str">
        <f>IF(P25=1,"Class 1 designated chemical","")</f>
        <v/>
      </c>
      <c r="I5" s="537" t="str">
        <f>IF(P26=1,"Class 2 designated chemical","")</f>
        <v/>
      </c>
      <c r="J5" s="149"/>
      <c r="K5" s="148" t="str">
        <f>IF(P38=1,"Draft","")</f>
        <v/>
      </c>
      <c r="L5" s="150" t="str">
        <f>IF(P26=1,"Pre-training","")</f>
        <v/>
      </c>
      <c r="M5" s="628" t="str">
        <f>IF(RL!L49=1,"Required",IF(RL!L49=2,"Recommended",IF(RL!L49=3,"Not necessary","")))</f>
        <v>Not necessary</v>
      </c>
    </row>
    <row r="6" spans="1:13" ht="33.950000000000003" customHeight="1">
      <c r="A6" s="314"/>
      <c r="B6" s="629"/>
      <c r="C6" s="629"/>
      <c r="D6" s="629"/>
      <c r="E6" s="630"/>
      <c r="F6" s="311"/>
      <c r="G6" s="622"/>
      <c r="H6" s="538" t="str">
        <f>IF(P29=1,"Eye Irration","")</f>
        <v/>
      </c>
      <c r="I6" s="539" t="str">
        <f>IF(P28=1,"Skin corrosion","")</f>
        <v/>
      </c>
      <c r="J6" s="539" t="str">
        <f>IF(P27=1,"Highly flammable","")</f>
        <v/>
      </c>
      <c r="K6" s="634" t="str">
        <f>IF(P29=1," Glasses ","")&amp;IF(P28=1," Gloves ","")&amp;IF(P27=1," Extinguisher ","")</f>
        <v/>
      </c>
      <c r="L6" s="635"/>
      <c r="M6" s="628"/>
    </row>
    <row r="7" spans="1:13" ht="16.5" customHeight="1">
      <c r="A7" s="314"/>
      <c r="B7" s="629"/>
      <c r="C7" s="629"/>
      <c r="D7" s="629"/>
      <c r="E7" s="630"/>
      <c r="F7" s="312"/>
      <c r="G7" s="148" t="s">
        <v>660</v>
      </c>
      <c r="H7" s="148" t="str">
        <f>IF(RL!H17=0,"Normal use","Non-normal use")</f>
        <v>Non-normal use</v>
      </c>
      <c r="I7" s="250" t="str">
        <f>IF(実施シート!F53=2,"more than 1kg",IF(実施シート!F53=3," more than 1ton",""))</f>
        <v/>
      </c>
      <c r="J7" s="154"/>
      <c r="K7" s="155" t="s">
        <v>649</v>
      </c>
      <c r="L7" s="156">
        <f>実施シート!F51</f>
        <v>0</v>
      </c>
      <c r="M7" s="482" t="s">
        <v>690</v>
      </c>
    </row>
    <row r="8" spans="1:13" ht="16.5" customHeight="1">
      <c r="A8" s="153"/>
      <c r="B8" s="315" t="str">
        <f>HL!L72</f>
        <v/>
      </c>
      <c r="C8" s="172" t="str">
        <f>+HL!L67</f>
        <v/>
      </c>
      <c r="D8" s="240"/>
      <c r="E8" s="364" t="str">
        <f>HL!L74&amp;HL!L66</f>
        <v>Oxidation</v>
      </c>
      <c r="F8" s="313"/>
      <c r="G8" s="151" t="s">
        <v>244</v>
      </c>
      <c r="H8" s="151"/>
      <c r="I8" s="251" t="str">
        <f>IF(実施シート!F60="i","","Confact frequency more than 12.5%")</f>
        <v>Confact frequency more than 12.5%</v>
      </c>
      <c r="J8" s="157"/>
      <c r="K8" s="158" t="s">
        <v>650</v>
      </c>
      <c r="L8" s="159">
        <f>+実施シート!F73</f>
        <v>0</v>
      </c>
      <c r="M8" s="481" t="str">
        <f>IF(RL!L48=1,"Required",IF(RL!L48=2,"Recommended",IF(RL!L48=3,"Not necessary","")))</f>
        <v>Not necessary</v>
      </c>
    </row>
    <row r="9" spans="1:13" s="169" customFormat="1" ht="11.25" customHeight="1">
      <c r="A9" s="171"/>
      <c r="B9" s="171" t="str">
        <f>IF(実施シート!L55="","","b.p. "&amp;TEXT(実施シート!L55,0)&amp;" C")</f>
        <v>b.p. 65 C</v>
      </c>
      <c r="C9" s="171"/>
      <c r="D9" s="171" t="str">
        <f>IF(+HL!L69="","","corresponding to HL5")</f>
        <v/>
      </c>
      <c r="E9" s="631" t="str">
        <f>+HL!L69</f>
        <v/>
      </c>
      <c r="F9" s="631"/>
      <c r="G9" s="631"/>
      <c r="H9" s="631"/>
      <c r="I9" s="631"/>
      <c r="J9" s="631"/>
      <c r="K9" s="631"/>
      <c r="L9" s="631"/>
      <c r="M9" s="631"/>
    </row>
    <row r="10" spans="1:13" s="169" customFormat="1" ht="38.1" customHeight="1">
      <c r="A10" s="171"/>
      <c r="B10" s="171"/>
      <c r="C10" s="171"/>
      <c r="D10" s="171" t="str">
        <f>IF(+HL!L70="","","corresponding to HL4")</f>
        <v/>
      </c>
      <c r="E10" s="636" t="str">
        <f>+HL!L70</f>
        <v/>
      </c>
      <c r="F10" s="636"/>
      <c r="G10" s="636"/>
      <c r="H10" s="636"/>
      <c r="I10" s="636"/>
      <c r="J10" s="636"/>
      <c r="K10" s="636"/>
      <c r="L10" s="636"/>
      <c r="M10" s="636"/>
    </row>
    <row r="11" spans="1:13" s="128" customFormat="1" ht="18" customHeight="1">
      <c r="A11" s="170"/>
      <c r="B11" s="170"/>
      <c r="D11" s="170" t="str">
        <f>+H5</f>
        <v/>
      </c>
      <c r="E11" s="617" t="str">
        <f>HL!L58</f>
        <v xml:space="preserve"> </v>
      </c>
      <c r="F11" s="617"/>
      <c r="G11" s="617"/>
      <c r="H11" s="617"/>
      <c r="I11" s="617"/>
      <c r="J11" s="617"/>
      <c r="K11" s="617"/>
      <c r="L11" s="617"/>
      <c r="M11" s="617"/>
    </row>
    <row r="12" spans="1:13" s="128" customFormat="1" ht="27.95" customHeight="1">
      <c r="A12" s="170"/>
      <c r="B12" s="170" t="str">
        <f>+J6</f>
        <v/>
      </c>
      <c r="C12" s="170"/>
      <c r="D12" s="170" t="str">
        <f>+I5</f>
        <v/>
      </c>
      <c r="E12" s="617" t="str">
        <f>HL!L59</f>
        <v/>
      </c>
      <c r="F12" s="617"/>
      <c r="G12" s="617"/>
      <c r="H12" s="617"/>
      <c r="I12" s="617"/>
      <c r="J12" s="617"/>
      <c r="K12" s="617"/>
      <c r="L12" s="617"/>
      <c r="M12" s="617"/>
    </row>
    <row r="13" spans="1:13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7" spans="1:17">
      <c r="L17" s="143" t="str">
        <f>IF(P29=1," 眼鏡等 ","")&amp;IF(P28=1," 手袋等 ","")&amp;IF(P27=1," 消火器 ","")</f>
        <v/>
      </c>
      <c r="N17" s="330"/>
      <c r="O17" s="331"/>
      <c r="P17" s="332"/>
      <c r="Q17" s="330"/>
    </row>
    <row r="18" spans="1:17">
      <c r="N18" s="330"/>
      <c r="O18" s="332"/>
      <c r="P18" s="332"/>
      <c r="Q18" s="330"/>
    </row>
    <row r="19" spans="1:17" ht="18.75">
      <c r="N19" s="330"/>
      <c r="O19" s="67"/>
      <c r="P19" s="67"/>
      <c r="Q19" s="330"/>
    </row>
    <row r="20" spans="1:17" ht="18" customHeight="1">
      <c r="N20" s="330"/>
      <c r="O20" s="67"/>
      <c r="P20" s="67"/>
      <c r="Q20" s="330"/>
    </row>
    <row r="21" spans="1:17" ht="18" customHeight="1">
      <c r="N21" s="330"/>
      <c r="O21" s="67"/>
      <c r="P21" s="67"/>
      <c r="Q21" s="330"/>
    </row>
    <row r="22" spans="1:17" ht="18" customHeight="1">
      <c r="B22" s="618" t="s">
        <v>265</v>
      </c>
      <c r="C22" s="618"/>
      <c r="N22" s="330"/>
      <c r="O22" s="67"/>
      <c r="P22" s="67"/>
      <c r="Q22" s="330"/>
    </row>
    <row r="23" spans="1:17" ht="18" customHeight="1" thickBot="1">
      <c r="A23" s="173"/>
      <c r="B23" s="317" t="s">
        <v>277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330"/>
      <c r="O23" s="67"/>
      <c r="P23" s="67"/>
      <c r="Q23" s="330"/>
    </row>
    <row r="24" spans="1:17" ht="14.25" customHeight="1" thickBot="1">
      <c r="A24" s="314"/>
      <c r="B24" s="632" t="s">
        <v>276</v>
      </c>
      <c r="C24" s="632"/>
      <c r="D24" s="632"/>
      <c r="E24" s="633" t="s">
        <v>207</v>
      </c>
      <c r="F24" s="173"/>
      <c r="G24" s="626" t="s">
        <v>261</v>
      </c>
      <c r="H24" s="226" t="s">
        <v>60</v>
      </c>
      <c r="I24" s="227" t="s">
        <v>59</v>
      </c>
      <c r="J24" s="241" t="s">
        <v>245</v>
      </c>
      <c r="K24" s="227" t="s">
        <v>233</v>
      </c>
      <c r="L24" s="241" t="s">
        <v>211</v>
      </c>
      <c r="M24" s="249" t="s">
        <v>253</v>
      </c>
      <c r="N24" s="330"/>
      <c r="O24" s="109" t="s">
        <v>147</v>
      </c>
      <c r="P24" s="110"/>
      <c r="Q24" s="330"/>
    </row>
    <row r="25" spans="1:17" ht="18.75">
      <c r="A25" s="314"/>
      <c r="B25" s="632"/>
      <c r="C25" s="632"/>
      <c r="D25" s="632"/>
      <c r="E25" s="633"/>
      <c r="F25" s="173"/>
      <c r="G25" s="627"/>
      <c r="H25" s="228" t="s">
        <v>208</v>
      </c>
      <c r="I25" s="229" t="s">
        <v>209</v>
      </c>
      <c r="J25" s="230" t="s">
        <v>203</v>
      </c>
      <c r="K25" s="229" t="s">
        <v>220</v>
      </c>
      <c r="L25" s="230" t="s">
        <v>210</v>
      </c>
      <c r="M25" s="249" t="s">
        <v>254</v>
      </c>
      <c r="O25" s="105" t="s">
        <v>60</v>
      </c>
      <c r="P25" s="106">
        <f>+HL!K58</f>
        <v>0</v>
      </c>
    </row>
    <row r="26" spans="1:17" ht="18.75">
      <c r="A26" s="314"/>
      <c r="B26" s="632"/>
      <c r="C26" s="632"/>
      <c r="D26" s="632"/>
      <c r="E26" s="633"/>
      <c r="F26" s="173"/>
      <c r="G26" s="226" t="s">
        <v>278</v>
      </c>
      <c r="H26" s="226" t="s">
        <v>246</v>
      </c>
      <c r="I26" s="245" t="s">
        <v>266</v>
      </c>
      <c r="J26" s="241"/>
      <c r="K26" s="231" t="s">
        <v>259</v>
      </c>
      <c r="L26" s="252">
        <v>5</v>
      </c>
      <c r="M26" s="249" t="s">
        <v>269</v>
      </c>
      <c r="O26" s="105" t="s">
        <v>59</v>
      </c>
      <c r="P26" s="106">
        <f>+HL!K59</f>
        <v>0</v>
      </c>
    </row>
    <row r="27" spans="1:17" ht="18.75">
      <c r="A27" s="173"/>
      <c r="B27" s="242" t="s">
        <v>264</v>
      </c>
      <c r="C27" s="173" t="s">
        <v>263</v>
      </c>
      <c r="D27" s="173"/>
      <c r="E27" s="173" t="s">
        <v>281</v>
      </c>
      <c r="F27" s="173"/>
      <c r="G27" s="228" t="s">
        <v>247</v>
      </c>
      <c r="H27" s="228" t="s">
        <v>248</v>
      </c>
      <c r="I27" s="246" t="s">
        <v>267</v>
      </c>
      <c r="J27" s="230"/>
      <c r="K27" s="232" t="s">
        <v>260</v>
      </c>
      <c r="L27" s="253">
        <v>5</v>
      </c>
      <c r="M27" s="173"/>
      <c r="O27" s="105" t="s">
        <v>203</v>
      </c>
      <c r="P27" s="106">
        <f>+HL!K60</f>
        <v>0</v>
      </c>
    </row>
    <row r="28" spans="1:17" ht="18.75">
      <c r="A28" s="173"/>
      <c r="B28" s="173"/>
      <c r="C28" s="242"/>
      <c r="D28" s="243" t="s">
        <v>239</v>
      </c>
      <c r="E28" s="242" t="s">
        <v>270</v>
      </c>
      <c r="F28" s="242"/>
      <c r="G28" s="173"/>
      <c r="H28" s="173"/>
      <c r="I28" s="242" t="s">
        <v>274</v>
      </c>
      <c r="J28" s="173"/>
      <c r="K28" s="173"/>
      <c r="L28" s="173"/>
      <c r="M28" s="173"/>
      <c r="O28" s="105" t="s">
        <v>134</v>
      </c>
      <c r="P28" s="106">
        <f>+HL!K61</f>
        <v>0</v>
      </c>
    </row>
    <row r="29" spans="1:17" ht="18.75">
      <c r="A29" s="173"/>
      <c r="B29" s="173" t="s">
        <v>280</v>
      </c>
      <c r="C29" s="173"/>
      <c r="D29" s="242" t="s">
        <v>240</v>
      </c>
      <c r="E29" s="244" t="s">
        <v>271</v>
      </c>
      <c r="F29" s="244"/>
      <c r="G29" s="173"/>
      <c r="H29" s="173"/>
      <c r="I29" s="173"/>
      <c r="J29" s="173"/>
      <c r="K29" s="173"/>
      <c r="L29" s="173"/>
      <c r="M29" s="242" t="s">
        <v>274</v>
      </c>
      <c r="O29" s="105" t="s">
        <v>135</v>
      </c>
      <c r="P29" s="106">
        <f>+HL!K62</f>
        <v>0</v>
      </c>
    </row>
    <row r="30" spans="1:17" ht="18.75">
      <c r="A30" s="173"/>
      <c r="B30" s="173"/>
      <c r="C30" s="173"/>
      <c r="D30" s="242" t="s">
        <v>60</v>
      </c>
      <c r="E30" s="243" t="s">
        <v>273</v>
      </c>
      <c r="F30" s="243"/>
      <c r="G30" s="243"/>
      <c r="H30" s="173"/>
      <c r="I30" s="173"/>
      <c r="J30" s="173"/>
      <c r="K30" s="173"/>
      <c r="L30" s="173"/>
      <c r="M30" s="173"/>
      <c r="O30" s="105" t="s">
        <v>136</v>
      </c>
      <c r="P30" s="106">
        <f>+HL!K63</f>
        <v>0</v>
      </c>
    </row>
    <row r="31" spans="1:17" ht="19.5" thickBot="1">
      <c r="A31" s="173"/>
      <c r="B31" s="173"/>
      <c r="C31" s="173"/>
      <c r="D31" s="243" t="s">
        <v>59</v>
      </c>
      <c r="E31" s="243" t="s">
        <v>272</v>
      </c>
      <c r="F31" s="243"/>
      <c r="G31" s="173"/>
      <c r="H31" s="173"/>
      <c r="I31" s="242" t="s">
        <v>274</v>
      </c>
      <c r="J31" s="173"/>
      <c r="K31" s="173"/>
      <c r="L31" s="173"/>
      <c r="M31" s="173"/>
      <c r="O31" s="107" t="s">
        <v>148</v>
      </c>
      <c r="P31" s="108">
        <f>+HL!K64</f>
        <v>0</v>
      </c>
    </row>
    <row r="32" spans="1:17" ht="18.75">
      <c r="O32" s="141"/>
      <c r="P32" s="142"/>
    </row>
    <row r="33" spans="5:16" ht="18.75">
      <c r="E33" s="143" t="s">
        <v>212</v>
      </c>
      <c r="H33" s="144" t="s">
        <v>214</v>
      </c>
      <c r="J33" s="143" t="s">
        <v>216</v>
      </c>
      <c r="O33" s="105" t="s">
        <v>205</v>
      </c>
      <c r="P33" s="106">
        <f>+HL!K66</f>
        <v>0</v>
      </c>
    </row>
    <row r="34" spans="5:16" ht="19.5" thickBot="1">
      <c r="E34" s="143" t="s">
        <v>213</v>
      </c>
      <c r="H34" s="143" t="s">
        <v>215</v>
      </c>
      <c r="I34" s="144"/>
      <c r="J34" s="144" t="s">
        <v>262</v>
      </c>
      <c r="K34" s="144"/>
      <c r="O34" s="107" t="s">
        <v>206</v>
      </c>
      <c r="P34" s="108">
        <f>+HL!K67</f>
        <v>0</v>
      </c>
    </row>
    <row r="35" spans="5:16">
      <c r="E35" s="143" t="s">
        <v>217</v>
      </c>
      <c r="H35" s="143" t="s">
        <v>218</v>
      </c>
      <c r="J35" s="316"/>
    </row>
    <row r="36" spans="5:16">
      <c r="E36" s="143" t="s">
        <v>219</v>
      </c>
      <c r="O36" s="143" t="s">
        <v>251</v>
      </c>
      <c r="P36" s="143">
        <f>RL!E7</f>
        <v>0</v>
      </c>
    </row>
    <row r="37" spans="5:16" ht="17.25" thickBot="1"/>
    <row r="38" spans="5:16" ht="19.5" thickBot="1">
      <c r="O38" s="388" t="s">
        <v>307</v>
      </c>
      <c r="P38" s="110">
        <f>+HL!K76</f>
        <v>0</v>
      </c>
    </row>
    <row r="69" ht="14.25" customHeight="1"/>
    <row r="70" ht="13.5" customHeight="1"/>
    <row r="71" ht="14.25" customHeight="1"/>
    <row r="72" ht="20.25" customHeight="1"/>
    <row r="73" ht="20.25" customHeight="1"/>
    <row r="74" ht="14.25" customHeight="1"/>
  </sheetData>
  <mergeCells count="14">
    <mergeCell ref="B2:C2"/>
    <mergeCell ref="G24:G25"/>
    <mergeCell ref="G5:G6"/>
    <mergeCell ref="M5:M6"/>
    <mergeCell ref="B5:D7"/>
    <mergeCell ref="E5:E7"/>
    <mergeCell ref="E11:M11"/>
    <mergeCell ref="E12:M12"/>
    <mergeCell ref="E9:M9"/>
    <mergeCell ref="B22:C22"/>
    <mergeCell ref="B24:D26"/>
    <mergeCell ref="E24:E26"/>
    <mergeCell ref="K6:L6"/>
    <mergeCell ref="E10:M10"/>
  </mergeCells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R25"/>
  <sheetViews>
    <sheetView workbookViewId="0">
      <selection activeCell="E9" sqref="E9:M9"/>
    </sheetView>
  </sheetViews>
  <sheetFormatPr defaultColWidth="8.875" defaultRowHeight="18.75"/>
  <sheetData>
    <row r="3" spans="2:18" s="24" customFormat="1"/>
    <row r="4" spans="2:18" s="24" customFormat="1"/>
    <row r="5" spans="2:18" s="24" customFormat="1"/>
    <row r="6" spans="2:18" s="24" customFormat="1">
      <c r="B6" s="47" t="s">
        <v>608</v>
      </c>
      <c r="D6" s="47" t="s">
        <v>565</v>
      </c>
      <c r="O6" s="637" t="s">
        <v>611</v>
      </c>
      <c r="P6" s="637"/>
      <c r="R6" s="47" t="s">
        <v>111</v>
      </c>
    </row>
    <row r="7" spans="2:18" s="24" customFormat="1">
      <c r="B7" s="47"/>
      <c r="C7" s="47"/>
      <c r="D7" s="9"/>
      <c r="E7" s="97">
        <v>1</v>
      </c>
      <c r="F7" s="98">
        <v>2</v>
      </c>
      <c r="G7" s="98">
        <v>3</v>
      </c>
      <c r="H7" s="99">
        <v>4</v>
      </c>
      <c r="I7" s="99">
        <v>5</v>
      </c>
      <c r="J7" s="99">
        <v>6</v>
      </c>
      <c r="K7" s="17">
        <v>7</v>
      </c>
      <c r="L7" s="46"/>
      <c r="O7" s="47" t="s">
        <v>612</v>
      </c>
      <c r="P7" s="47" t="s">
        <v>613</v>
      </c>
      <c r="R7" s="47"/>
    </row>
    <row r="8" spans="2:18" s="24" customFormat="1">
      <c r="B8" s="10" t="s">
        <v>127</v>
      </c>
      <c r="D8" s="9" t="s">
        <v>112</v>
      </c>
      <c r="E8" s="88" t="s">
        <v>566</v>
      </c>
      <c r="F8" s="89" t="s">
        <v>568</v>
      </c>
      <c r="G8" s="89" t="s">
        <v>570</v>
      </c>
      <c r="H8" s="89" t="s">
        <v>571</v>
      </c>
      <c r="I8" s="89" t="s">
        <v>573</v>
      </c>
      <c r="J8" s="89" t="s">
        <v>574</v>
      </c>
      <c r="K8" s="90" t="s">
        <v>113</v>
      </c>
      <c r="L8" s="100" t="s">
        <v>125</v>
      </c>
      <c r="M8" s="100" t="s">
        <v>123</v>
      </c>
      <c r="N8" s="100"/>
      <c r="O8" s="3" t="s">
        <v>127</v>
      </c>
      <c r="P8" s="13" t="s">
        <v>127</v>
      </c>
      <c r="R8" s="91" t="s">
        <v>127</v>
      </c>
    </row>
    <row r="9" spans="2:18" s="24" customFormat="1">
      <c r="B9" s="53" t="s">
        <v>609</v>
      </c>
      <c r="D9" s="11"/>
      <c r="E9" s="4" t="s">
        <v>567</v>
      </c>
      <c r="F9" s="5" t="s">
        <v>569</v>
      </c>
      <c r="G9" s="5" t="s">
        <v>576</v>
      </c>
      <c r="H9" s="5" t="s">
        <v>572</v>
      </c>
      <c r="I9" s="5" t="s">
        <v>46</v>
      </c>
      <c r="J9" s="5" t="s">
        <v>575</v>
      </c>
      <c r="K9" s="90" t="s">
        <v>113</v>
      </c>
      <c r="O9" s="7" t="s">
        <v>614</v>
      </c>
      <c r="P9" s="92" t="s">
        <v>617</v>
      </c>
      <c r="R9" s="26" t="s">
        <v>114</v>
      </c>
    </row>
    <row r="10" spans="2:18" s="24" customFormat="1">
      <c r="B10" s="53" t="s">
        <v>610</v>
      </c>
      <c r="D10" s="53"/>
      <c r="E10" s="7" t="s">
        <v>128</v>
      </c>
      <c r="F10" s="24" t="s">
        <v>127</v>
      </c>
      <c r="G10" s="24" t="s">
        <v>127</v>
      </c>
      <c r="H10" s="24" t="s">
        <v>127</v>
      </c>
      <c r="I10" s="24" t="s">
        <v>127</v>
      </c>
      <c r="J10" s="24" t="s">
        <v>127</v>
      </c>
      <c r="K10" s="8" t="s">
        <v>127</v>
      </c>
      <c r="O10" s="7" t="s">
        <v>615</v>
      </c>
      <c r="P10" s="92" t="s">
        <v>618</v>
      </c>
      <c r="R10" s="26" t="s">
        <v>110</v>
      </c>
    </row>
    <row r="11" spans="2:18" s="24" customFormat="1">
      <c r="B11" s="11" t="s">
        <v>693</v>
      </c>
      <c r="D11" s="53"/>
      <c r="E11" s="7" t="s">
        <v>577</v>
      </c>
      <c r="F11" s="24" t="s">
        <v>580</v>
      </c>
      <c r="G11" s="24" t="s">
        <v>587</v>
      </c>
      <c r="H11" s="24" t="s">
        <v>595</v>
      </c>
      <c r="I11" s="24" t="s">
        <v>605</v>
      </c>
      <c r="J11" s="24" t="s">
        <v>607</v>
      </c>
      <c r="K11" s="8"/>
      <c r="O11" s="93" t="s">
        <v>616</v>
      </c>
      <c r="P11" s="16" t="s">
        <v>619</v>
      </c>
      <c r="R11" s="94" t="s">
        <v>115</v>
      </c>
    </row>
    <row r="12" spans="2:18" s="24" customFormat="1">
      <c r="B12" s="67" t="s">
        <v>694</v>
      </c>
      <c r="D12" s="53"/>
      <c r="E12" s="7" t="s">
        <v>578</v>
      </c>
      <c r="F12" s="24" t="s">
        <v>581</v>
      </c>
      <c r="G12" s="24" t="s">
        <v>588</v>
      </c>
      <c r="H12" s="24" t="s">
        <v>596</v>
      </c>
      <c r="I12" s="24" t="s">
        <v>606</v>
      </c>
      <c r="K12" s="8"/>
      <c r="O12" s="67" t="s">
        <v>695</v>
      </c>
      <c r="P12" s="47" t="s">
        <v>697</v>
      </c>
      <c r="Q12" s="47"/>
    </row>
    <row r="13" spans="2:18" s="24" customFormat="1">
      <c r="B13" s="67"/>
      <c r="D13" s="53"/>
      <c r="E13" s="7" t="s">
        <v>579</v>
      </c>
      <c r="F13" s="24" t="s">
        <v>582</v>
      </c>
      <c r="G13" s="24" t="s">
        <v>589</v>
      </c>
      <c r="H13" s="24" t="s">
        <v>597</v>
      </c>
      <c r="K13" s="8"/>
      <c r="O13" s="67" t="s">
        <v>696</v>
      </c>
      <c r="P13" s="46" t="s">
        <v>696</v>
      </c>
    </row>
    <row r="14" spans="2:18" s="24" customFormat="1">
      <c r="B14" s="67" t="s">
        <v>286</v>
      </c>
      <c r="D14" s="53"/>
      <c r="E14" s="7"/>
      <c r="F14" s="24" t="s">
        <v>583</v>
      </c>
      <c r="G14" s="24" t="s">
        <v>590</v>
      </c>
      <c r="H14" s="24" t="s">
        <v>598</v>
      </c>
      <c r="K14" s="8"/>
      <c r="O14" s="67" t="s">
        <v>116</v>
      </c>
      <c r="P14" s="24" t="s">
        <v>116</v>
      </c>
    </row>
    <row r="15" spans="2:18" s="24" customFormat="1">
      <c r="C15" s="82"/>
      <c r="D15" s="53"/>
      <c r="E15" s="7"/>
      <c r="F15" s="24" t="s">
        <v>584</v>
      </c>
      <c r="G15" s="24" t="s">
        <v>591</v>
      </c>
      <c r="H15" s="24" t="s">
        <v>599</v>
      </c>
      <c r="K15" s="8"/>
    </row>
    <row r="16" spans="2:18" s="24" customFormat="1">
      <c r="D16" s="53"/>
      <c r="E16" s="7"/>
      <c r="F16" s="24" t="s">
        <v>585</v>
      </c>
      <c r="G16" s="24" t="s">
        <v>592</v>
      </c>
      <c r="H16" s="24" t="s">
        <v>600</v>
      </c>
      <c r="K16" s="8"/>
      <c r="O16" s="10" t="s">
        <v>127</v>
      </c>
    </row>
    <row r="17" spans="4:15" s="24" customFormat="1">
      <c r="D17" s="53"/>
      <c r="E17" s="7"/>
      <c r="F17" s="24" t="s">
        <v>586</v>
      </c>
      <c r="G17" s="24" t="s">
        <v>593</v>
      </c>
      <c r="H17" s="24" t="s">
        <v>601</v>
      </c>
      <c r="K17" s="8"/>
      <c r="O17" s="53" t="s">
        <v>117</v>
      </c>
    </row>
    <row r="18" spans="4:15" s="24" customFormat="1">
      <c r="D18" s="53"/>
      <c r="E18" s="7"/>
      <c r="G18" s="24" t="s">
        <v>594</v>
      </c>
      <c r="H18" s="24" t="s">
        <v>602</v>
      </c>
      <c r="K18" s="8"/>
      <c r="O18" s="53" t="s">
        <v>118</v>
      </c>
    </row>
    <row r="19" spans="4:15" s="24" customFormat="1">
      <c r="D19" s="53"/>
      <c r="E19" s="7"/>
      <c r="H19" s="24" t="s">
        <v>603</v>
      </c>
      <c r="K19" s="8"/>
      <c r="O19" s="95" t="s">
        <v>119</v>
      </c>
    </row>
    <row r="20" spans="4:15" s="24" customFormat="1">
      <c r="D20" s="11"/>
      <c r="E20" s="4"/>
      <c r="F20" s="5"/>
      <c r="G20" s="5"/>
      <c r="H20" s="5" t="s">
        <v>604</v>
      </c>
      <c r="I20" s="5"/>
      <c r="J20" s="5"/>
      <c r="K20" s="6"/>
      <c r="O20" s="95" t="s">
        <v>120</v>
      </c>
    </row>
    <row r="21" spans="4:15" s="24" customFormat="1">
      <c r="H21" s="67" t="s">
        <v>129</v>
      </c>
      <c r="O21" s="95" t="s">
        <v>121</v>
      </c>
    </row>
    <row r="22" spans="4:15" s="24" customFormat="1">
      <c r="O22" s="96" t="s">
        <v>122</v>
      </c>
    </row>
    <row r="23" spans="4:15" s="24" customFormat="1"/>
    <row r="24" spans="4:15" s="24" customFormat="1">
      <c r="O24" s="100" t="s">
        <v>124</v>
      </c>
    </row>
    <row r="25" spans="4:15">
      <c r="O25" s="100" t="s">
        <v>123</v>
      </c>
    </row>
  </sheetData>
  <mergeCells count="1">
    <mergeCell ref="O6:P6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K98"/>
  <sheetViews>
    <sheetView topLeftCell="A20" workbookViewId="0">
      <selection activeCell="E9" sqref="E9:M9"/>
    </sheetView>
  </sheetViews>
  <sheetFormatPr defaultColWidth="8.875" defaultRowHeight="18.75"/>
  <cols>
    <col min="2" max="2" width="3.375" customWidth="1"/>
    <col min="3" max="3" width="31.5" customWidth="1"/>
    <col min="4" max="4" width="5.125" customWidth="1"/>
    <col min="5" max="5" width="9" customWidth="1"/>
    <col min="6" max="6" width="3.625" customWidth="1"/>
    <col min="7" max="7" width="4.5" customWidth="1"/>
    <col min="10" max="10" width="13.625" customWidth="1"/>
    <col min="14" max="14" width="8.625" customWidth="1"/>
    <col min="15" max="15" width="8" customWidth="1"/>
    <col min="16" max="16" width="8.125" customWidth="1"/>
    <col min="17" max="17" width="7.875" customWidth="1"/>
    <col min="20" max="20" width="7.125" customWidth="1"/>
    <col min="21" max="21" width="9" customWidth="1"/>
  </cols>
  <sheetData>
    <row r="2" spans="1:36" ht="19.5" thickBot="1">
      <c r="K2" t="s">
        <v>230</v>
      </c>
      <c r="M2" t="s">
        <v>202</v>
      </c>
      <c r="V2" t="s">
        <v>221</v>
      </c>
    </row>
    <row r="3" spans="1:36">
      <c r="G3" s="21"/>
      <c r="H3" s="22"/>
      <c r="I3" s="22"/>
      <c r="J3" s="45"/>
      <c r="K3" s="117" t="s">
        <v>204</v>
      </c>
      <c r="M3" s="21"/>
      <c r="N3" s="22"/>
      <c r="O3" s="117"/>
      <c r="P3" s="22"/>
      <c r="Q3" s="22"/>
      <c r="R3" s="22"/>
      <c r="S3" s="45"/>
      <c r="T3" s="357" t="s">
        <v>202</v>
      </c>
      <c r="V3" s="21"/>
      <c r="W3" s="22"/>
      <c r="X3" s="22"/>
      <c r="Y3" s="22" t="s">
        <v>225</v>
      </c>
      <c r="Z3" s="45"/>
      <c r="AD3" t="s">
        <v>199</v>
      </c>
    </row>
    <row r="4" spans="1:36" ht="19.5" thickBot="1">
      <c r="G4" s="28"/>
      <c r="H4" s="29"/>
      <c r="I4" s="29"/>
      <c r="J4" s="2"/>
      <c r="K4" s="44"/>
      <c r="M4" s="28"/>
      <c r="N4" s="29"/>
      <c r="O4" s="358" t="s">
        <v>21</v>
      </c>
      <c r="P4" s="29" t="s">
        <v>59</v>
      </c>
      <c r="Q4" s="29" t="s">
        <v>205</v>
      </c>
      <c r="R4" s="29" t="s">
        <v>203</v>
      </c>
      <c r="S4" s="2" t="s">
        <v>293</v>
      </c>
      <c r="T4" s="137" t="s">
        <v>234</v>
      </c>
      <c r="V4" s="28" t="s">
        <v>222</v>
      </c>
      <c r="W4" s="29" t="s">
        <v>223</v>
      </c>
      <c r="X4" s="29" t="s">
        <v>224</v>
      </c>
      <c r="Y4" s="74" t="s">
        <v>395</v>
      </c>
      <c r="Z4" s="147" t="s">
        <v>226</v>
      </c>
    </row>
    <row r="5" spans="1:36">
      <c r="C5" s="21" t="str">
        <f>+実施シート!C13</f>
        <v>○ Explosives</v>
      </c>
      <c r="D5" s="129" t="str">
        <f>+ASC(実施シート!F13)</f>
        <v/>
      </c>
      <c r="E5" s="133"/>
      <c r="G5" s="23">
        <v>1</v>
      </c>
      <c r="H5" s="24" t="str">
        <f>+C5</f>
        <v>○ Explosives</v>
      </c>
      <c r="I5" s="24"/>
      <c r="J5" s="1"/>
      <c r="K5" s="136" t="str">
        <f>+IF(D5="","",D5)</f>
        <v/>
      </c>
      <c r="M5" s="321" t="s">
        <v>633</v>
      </c>
      <c r="N5" s="24"/>
      <c r="O5" s="37" t="str">
        <f>+D5</f>
        <v/>
      </c>
      <c r="P5" s="24"/>
      <c r="Q5" s="24">
        <f>+COUNTIF(AD5:AJ5,O5)</f>
        <v>0</v>
      </c>
      <c r="R5" s="24"/>
      <c r="S5" s="1"/>
      <c r="T5" s="57" t="s">
        <v>235</v>
      </c>
      <c r="V5" s="59">
        <f>+COUNTIF(AD5:AH5,K5)</f>
        <v>0</v>
      </c>
      <c r="W5" s="408"/>
      <c r="X5" s="408"/>
      <c r="Y5" s="408"/>
      <c r="Z5" s="60"/>
      <c r="AB5" s="21" t="s">
        <v>283</v>
      </c>
      <c r="AC5" s="45"/>
      <c r="AD5" s="21" t="s">
        <v>53</v>
      </c>
      <c r="AE5" s="68">
        <v>1.1000000000000001</v>
      </c>
      <c r="AF5" s="68">
        <v>1.2</v>
      </c>
      <c r="AG5" s="68">
        <v>1.3</v>
      </c>
      <c r="AH5" s="68">
        <v>1.4</v>
      </c>
      <c r="AI5" s="68">
        <v>1.5</v>
      </c>
      <c r="AJ5" s="129">
        <v>1.6</v>
      </c>
    </row>
    <row r="6" spans="1:36">
      <c r="A6" s="126"/>
      <c r="C6" s="395" t="s">
        <v>193</v>
      </c>
      <c r="D6" s="60"/>
      <c r="E6" s="133"/>
      <c r="G6" s="23">
        <v>2</v>
      </c>
      <c r="H6" s="638"/>
      <c r="I6" s="638"/>
      <c r="J6" s="639"/>
      <c r="K6" s="640"/>
      <c r="M6" s="321"/>
      <c r="N6" s="24"/>
      <c r="O6" s="57"/>
      <c r="P6" s="24"/>
      <c r="Q6" s="24"/>
      <c r="R6" s="24"/>
      <c r="S6" s="1"/>
      <c r="T6" s="57" t="s">
        <v>200</v>
      </c>
      <c r="V6" s="59"/>
      <c r="W6" s="408"/>
      <c r="X6" s="408"/>
      <c r="Y6" s="408"/>
      <c r="Z6" s="60"/>
      <c r="AB6" s="23" t="s">
        <v>46</v>
      </c>
      <c r="AC6" s="1"/>
      <c r="AD6" s="59" t="s">
        <v>51</v>
      </c>
      <c r="AE6" s="101" t="s">
        <v>54</v>
      </c>
      <c r="AF6" s="101" t="s">
        <v>52</v>
      </c>
      <c r="AG6" s="101" t="s">
        <v>55</v>
      </c>
      <c r="AH6" s="101" t="s">
        <v>56</v>
      </c>
      <c r="AI6" s="101" t="s">
        <v>57</v>
      </c>
      <c r="AJ6" s="60" t="s">
        <v>58</v>
      </c>
    </row>
    <row r="7" spans="1:36">
      <c r="A7" s="126"/>
      <c r="C7" s="396" t="s">
        <v>194</v>
      </c>
      <c r="D7" s="60"/>
      <c r="E7" s="133"/>
      <c r="G7" s="23">
        <v>3</v>
      </c>
      <c r="H7" s="638"/>
      <c r="I7" s="638"/>
      <c r="J7" s="639"/>
      <c r="K7" s="640"/>
      <c r="M7" s="321"/>
      <c r="N7" s="24"/>
      <c r="O7" s="57"/>
      <c r="P7" s="24"/>
      <c r="Q7" s="24"/>
      <c r="R7" s="24"/>
      <c r="S7" s="1"/>
      <c r="T7" s="57" t="s">
        <v>200</v>
      </c>
      <c r="V7" s="59"/>
      <c r="W7" s="408"/>
      <c r="X7" s="408"/>
      <c r="Y7" s="408"/>
      <c r="Z7" s="60"/>
      <c r="AB7" s="23" t="s">
        <v>47</v>
      </c>
      <c r="AC7" s="1"/>
      <c r="AD7" s="59">
        <v>1</v>
      </c>
      <c r="AE7" s="101" t="s">
        <v>45</v>
      </c>
      <c r="AF7" s="101" t="s">
        <v>45</v>
      </c>
      <c r="AG7" s="101" t="s">
        <v>45</v>
      </c>
      <c r="AH7" s="101" t="s">
        <v>45</v>
      </c>
      <c r="AI7" s="101" t="s">
        <v>45</v>
      </c>
      <c r="AJ7" s="60" t="s">
        <v>45</v>
      </c>
    </row>
    <row r="8" spans="1:36">
      <c r="A8" s="126"/>
      <c r="C8" s="396" t="s">
        <v>195</v>
      </c>
      <c r="D8" s="60"/>
      <c r="E8" s="133"/>
      <c r="G8" s="23">
        <v>4</v>
      </c>
      <c r="H8" s="638"/>
      <c r="I8" s="638"/>
      <c r="J8" s="639"/>
      <c r="K8" s="640"/>
      <c r="M8" s="321"/>
      <c r="N8" s="24"/>
      <c r="O8" s="57"/>
      <c r="P8" s="24"/>
      <c r="Q8" s="24"/>
      <c r="R8" s="24"/>
      <c r="S8" s="1"/>
      <c r="T8" s="57" t="s">
        <v>200</v>
      </c>
      <c r="V8" s="59"/>
      <c r="W8" s="408"/>
      <c r="X8" s="408"/>
      <c r="Y8" s="408"/>
      <c r="Z8" s="60"/>
      <c r="AB8" s="23" t="s">
        <v>48</v>
      </c>
      <c r="AC8" s="1"/>
      <c r="AD8" s="59">
        <v>1</v>
      </c>
      <c r="AE8" s="101" t="s">
        <v>45</v>
      </c>
      <c r="AF8" s="101" t="s">
        <v>45</v>
      </c>
      <c r="AG8" s="101" t="s">
        <v>45</v>
      </c>
      <c r="AH8" s="101" t="s">
        <v>45</v>
      </c>
      <c r="AI8" s="101" t="s">
        <v>45</v>
      </c>
      <c r="AJ8" s="60" t="s">
        <v>45</v>
      </c>
    </row>
    <row r="9" spans="1:36">
      <c r="A9" s="126"/>
      <c r="C9" s="396" t="s">
        <v>196</v>
      </c>
      <c r="D9" s="60"/>
      <c r="E9" s="133"/>
      <c r="G9" s="23">
        <v>5</v>
      </c>
      <c r="H9" s="638"/>
      <c r="I9" s="638"/>
      <c r="J9" s="639"/>
      <c r="K9" s="640"/>
      <c r="M9" s="321"/>
      <c r="N9" s="24"/>
      <c r="O9" s="57"/>
      <c r="P9" s="24"/>
      <c r="Q9" s="24"/>
      <c r="R9" s="24"/>
      <c r="S9" s="1"/>
      <c r="T9" s="57" t="s">
        <v>200</v>
      </c>
      <c r="V9" s="59"/>
      <c r="W9" s="408"/>
      <c r="X9" s="408"/>
      <c r="Y9" s="408"/>
      <c r="Z9" s="60"/>
      <c r="AB9" s="23" t="s">
        <v>49</v>
      </c>
      <c r="AC9" s="1"/>
      <c r="AD9" s="59">
        <v>1</v>
      </c>
      <c r="AE9" s="101">
        <v>2</v>
      </c>
      <c r="AF9" s="101">
        <v>3</v>
      </c>
      <c r="AG9" s="101" t="s">
        <v>45</v>
      </c>
      <c r="AH9" s="101" t="s">
        <v>45</v>
      </c>
      <c r="AI9" s="101" t="s">
        <v>45</v>
      </c>
      <c r="AJ9" s="60" t="s">
        <v>45</v>
      </c>
    </row>
    <row r="10" spans="1:36" ht="19.5" thickBot="1">
      <c r="C10" s="23" t="str">
        <f>+実施シート!C14</f>
        <v>● Flammable liquids</v>
      </c>
      <c r="D10" s="60" t="str">
        <f>+ASC(実施シート!F14)</f>
        <v/>
      </c>
      <c r="E10" s="133"/>
      <c r="G10" s="23">
        <v>6</v>
      </c>
      <c r="H10" s="24" t="str">
        <f t="shared" ref="H10:H20" si="0">+C10</f>
        <v>● Flammable liquids</v>
      </c>
      <c r="I10" s="24"/>
      <c r="J10" s="1"/>
      <c r="K10" s="136" t="str">
        <f t="shared" ref="K10:K16" si="1">+IF(D10="","",SUBSTITUTE(SUBSTITUTE(D10,"　","")," ",""))</f>
        <v/>
      </c>
      <c r="M10" s="321" t="s">
        <v>634</v>
      </c>
      <c r="N10" s="24"/>
      <c r="O10" s="37" t="str">
        <f>+D10</f>
        <v/>
      </c>
      <c r="P10" s="24"/>
      <c r="Q10" s="24"/>
      <c r="R10" s="24">
        <f>IF(OR(O10="1",O10="2"),1,0)</f>
        <v>0</v>
      </c>
      <c r="S10" s="1"/>
      <c r="T10" s="57" t="s">
        <v>200</v>
      </c>
      <c r="V10" s="59"/>
      <c r="W10" s="408" t="str">
        <f>+IF(OR(K10="1",K10="2",K10="3"),1,"-")</f>
        <v>-</v>
      </c>
      <c r="X10" s="408"/>
      <c r="Y10" s="408"/>
      <c r="Z10" s="60"/>
      <c r="AB10" s="28" t="s">
        <v>50</v>
      </c>
      <c r="AC10" s="2"/>
      <c r="AD10" s="61" t="s">
        <v>51</v>
      </c>
      <c r="AE10" s="74" t="s">
        <v>54</v>
      </c>
      <c r="AF10" s="74" t="s">
        <v>52</v>
      </c>
      <c r="AG10" s="74" t="s">
        <v>55</v>
      </c>
      <c r="AH10" s="74" t="s">
        <v>56</v>
      </c>
      <c r="AI10" s="74" t="s">
        <v>57</v>
      </c>
      <c r="AJ10" s="62" t="s">
        <v>58</v>
      </c>
    </row>
    <row r="11" spans="1:36">
      <c r="C11" s="23" t="str">
        <f>+実施シート!C15</f>
        <v>○ Flammable solids</v>
      </c>
      <c r="D11" s="60" t="str">
        <f>+ASC(実施シート!F15)</f>
        <v/>
      </c>
      <c r="E11" s="133"/>
      <c r="G11" s="23">
        <v>7</v>
      </c>
      <c r="H11" s="24" t="str">
        <f t="shared" si="0"/>
        <v>○ Flammable solids</v>
      </c>
      <c r="I11" s="24"/>
      <c r="J11" s="1"/>
      <c r="K11" s="136" t="str">
        <f t="shared" si="1"/>
        <v/>
      </c>
      <c r="M11" s="321"/>
      <c r="N11" s="24"/>
      <c r="O11" s="57"/>
      <c r="P11" s="24"/>
      <c r="Q11" s="24"/>
      <c r="R11" s="24"/>
      <c r="S11" s="1"/>
      <c r="T11" s="57" t="s">
        <v>200</v>
      </c>
      <c r="V11" s="59"/>
      <c r="W11" s="408" t="str">
        <f>+IF(OR(K11="1",K11="2"),1,"-")</f>
        <v>-</v>
      </c>
      <c r="X11" s="408"/>
      <c r="Y11" s="408"/>
      <c r="Z11" s="60"/>
    </row>
    <row r="12" spans="1:36">
      <c r="C12" s="23" t="str">
        <f>+実施シート!C16</f>
        <v>● Self-reactive substances and mixtures</v>
      </c>
      <c r="D12" s="60" t="str">
        <f>+ASC(実施シート!F16)</f>
        <v/>
      </c>
      <c r="E12" s="133"/>
      <c r="G12" s="23">
        <v>8</v>
      </c>
      <c r="H12" s="24" t="str">
        <f t="shared" si="0"/>
        <v>● Self-reactive substances and mixtures</v>
      </c>
      <c r="I12" s="24"/>
      <c r="J12" s="1"/>
      <c r="K12" s="136" t="str">
        <f t="shared" si="1"/>
        <v/>
      </c>
      <c r="M12" s="321" t="s">
        <v>635</v>
      </c>
      <c r="N12" s="24"/>
      <c r="O12" s="37" t="str">
        <f>+D12</f>
        <v/>
      </c>
      <c r="P12" s="24">
        <f>+COUNTIF(AD6:AJ6,O12)</f>
        <v>0</v>
      </c>
      <c r="Q12" s="24"/>
      <c r="R12" s="24"/>
      <c r="S12" s="1"/>
      <c r="T12" s="57" t="str">
        <f>IF(P12=1,M12&amp;D12&amp;" ","")</f>
        <v/>
      </c>
      <c r="U12" s="24"/>
      <c r="V12" s="59" t="str">
        <f>+IF(OR(K12="A",K12="B"),1,"-")</f>
        <v>-</v>
      </c>
      <c r="W12" s="408" t="str">
        <f>+IF(OR(K12="B",K12="C",K12="D",K12="E", K12="F"),1,"-")</f>
        <v>-</v>
      </c>
      <c r="X12" s="408"/>
      <c r="Y12" s="408"/>
      <c r="Z12" s="60"/>
      <c r="AC12" s="24"/>
    </row>
    <row r="13" spans="1:36">
      <c r="C13" s="23" t="str">
        <f>+実施シート!C17</f>
        <v>● Pyrophoric liquids</v>
      </c>
      <c r="D13" s="60" t="str">
        <f>+ASC(実施シート!F17)</f>
        <v/>
      </c>
      <c r="E13" s="133"/>
      <c r="G13" s="23">
        <v>9</v>
      </c>
      <c r="H13" s="24" t="str">
        <f t="shared" si="0"/>
        <v>● Pyrophoric liquids</v>
      </c>
      <c r="I13" s="24"/>
      <c r="J13" s="1"/>
      <c r="K13" s="136" t="str">
        <f t="shared" si="1"/>
        <v/>
      </c>
      <c r="L13" s="24"/>
      <c r="M13" s="321" t="s">
        <v>636</v>
      </c>
      <c r="N13" s="24"/>
      <c r="O13" s="37" t="str">
        <f>+D13</f>
        <v/>
      </c>
      <c r="P13" s="24">
        <f>+COUNTIF(AD7:AJ7,O13)</f>
        <v>0</v>
      </c>
      <c r="Q13" s="24"/>
      <c r="R13" s="24"/>
      <c r="S13" s="1"/>
      <c r="T13" s="57" t="str">
        <f>IF(P13=1,M13&amp;D13&amp;" ","")</f>
        <v/>
      </c>
      <c r="V13" s="59"/>
      <c r="W13" s="408" t="str">
        <f>+IF(K13="1",1,"-")</f>
        <v>-</v>
      </c>
      <c r="X13" s="408"/>
      <c r="Y13" s="408"/>
      <c r="Z13" s="60"/>
    </row>
    <row r="14" spans="1:36">
      <c r="C14" s="23" t="str">
        <f>+実施シート!C18</f>
        <v>● Pyrophoric solids</v>
      </c>
      <c r="D14" s="60" t="str">
        <f>+ASC(実施シート!F18)</f>
        <v/>
      </c>
      <c r="E14" s="133"/>
      <c r="G14" s="23">
        <v>10</v>
      </c>
      <c r="H14" s="24" t="str">
        <f t="shared" si="0"/>
        <v>● Pyrophoric solids</v>
      </c>
      <c r="I14" s="24"/>
      <c r="J14" s="1"/>
      <c r="K14" s="136" t="str">
        <f t="shared" si="1"/>
        <v/>
      </c>
      <c r="M14" s="321" t="s">
        <v>637</v>
      </c>
      <c r="N14" s="24"/>
      <c r="O14" s="37" t="str">
        <f>+D14</f>
        <v/>
      </c>
      <c r="P14" s="24">
        <f>+COUNTIF(AD8:AJ8,O14)</f>
        <v>0</v>
      </c>
      <c r="Q14" s="24"/>
      <c r="R14" s="24"/>
      <c r="S14" s="1"/>
      <c r="T14" s="57" t="str">
        <f>IF(P14=1,M14&amp;D14&amp;" ","")</f>
        <v/>
      </c>
      <c r="V14" s="59"/>
      <c r="W14" s="408" t="str">
        <f>+IF(K14="1",1,"-")</f>
        <v>-</v>
      </c>
      <c r="X14" s="408"/>
      <c r="Y14" s="408"/>
      <c r="Z14" s="60"/>
    </row>
    <row r="15" spans="1:36" ht="19.5">
      <c r="C15" s="23" t="str">
        <f>+実施シート!C19</f>
        <v>○ Self-heating substances and mixtures</v>
      </c>
      <c r="D15" s="60" t="str">
        <f>+ASC(実施シート!F19)</f>
        <v/>
      </c>
      <c r="E15" s="133"/>
      <c r="G15" s="23">
        <v>11</v>
      </c>
      <c r="H15" s="24" t="str">
        <f t="shared" si="0"/>
        <v>○ Self-heating substances and mixtures</v>
      </c>
      <c r="I15" s="41"/>
      <c r="J15" s="134"/>
      <c r="K15" s="136" t="str">
        <f t="shared" si="1"/>
        <v/>
      </c>
      <c r="M15" s="321"/>
      <c r="N15" s="24"/>
      <c r="O15" s="57"/>
      <c r="P15" s="24"/>
      <c r="Q15" s="24"/>
      <c r="R15" s="24"/>
      <c r="S15" s="1"/>
      <c r="T15" s="57" t="s">
        <v>200</v>
      </c>
      <c r="U15" s="39"/>
      <c r="V15" s="146"/>
      <c r="W15" s="408" t="str">
        <f>+IF(OR(K15="1",K15="2"),1,"-")</f>
        <v>-</v>
      </c>
      <c r="X15" s="43"/>
      <c r="Y15" s="43"/>
      <c r="Z15" s="135"/>
      <c r="AA15" s="39"/>
      <c r="AB15" s="39"/>
    </row>
    <row r="16" spans="1:36" ht="19.5">
      <c r="C16" s="23" t="str">
        <f>+実施シート!C20</f>
        <v>● Substances and mixtures which, in contact with water, emit flammable gasses</v>
      </c>
      <c r="D16" s="60" t="str">
        <f>+ASC(実施シート!F20)</f>
        <v/>
      </c>
      <c r="E16" s="133"/>
      <c r="G16" s="23">
        <v>12</v>
      </c>
      <c r="H16" s="24" t="str">
        <f>+C16</f>
        <v>● Substances and mixtures which, in contact with water, emit flammable gasses</v>
      </c>
      <c r="I16" s="43"/>
      <c r="J16" s="135"/>
      <c r="K16" s="136" t="str">
        <f t="shared" si="1"/>
        <v/>
      </c>
      <c r="M16" s="321" t="s">
        <v>639</v>
      </c>
      <c r="N16" s="24"/>
      <c r="O16" s="37" t="str">
        <f>+D16</f>
        <v/>
      </c>
      <c r="P16" s="24">
        <f>+COUNTIF(AD9:AJ9,O16)</f>
        <v>0</v>
      </c>
      <c r="Q16" s="24"/>
      <c r="R16" s="24"/>
      <c r="S16" s="1"/>
      <c r="T16" s="57" t="str">
        <f>IF(P16=1,M16&amp;D16&amp;" ","")</f>
        <v/>
      </c>
      <c r="U16" s="42"/>
      <c r="V16" s="146"/>
      <c r="W16" s="408" t="str">
        <f>+IF(OR(K16="1",K16="2",K16="3"),1,"-")</f>
        <v>-</v>
      </c>
      <c r="X16" s="43"/>
      <c r="Y16" s="43"/>
      <c r="Z16" s="135"/>
    </row>
    <row r="17" spans="1:37">
      <c r="C17" s="23" t="str">
        <f>+実施シート!C21</f>
        <v>○ Oxidizing liquids</v>
      </c>
      <c r="D17" s="60" t="str">
        <f>+ASC(実施シート!F21)</f>
        <v/>
      </c>
      <c r="E17" s="133"/>
      <c r="G17" s="23">
        <v>13</v>
      </c>
      <c r="H17" s="24" t="str">
        <f t="shared" si="0"/>
        <v>○ Oxidizing liquids</v>
      </c>
      <c r="I17" s="24"/>
      <c r="J17" s="1"/>
      <c r="K17" s="136" t="str">
        <f>+IF(D17="","",SUBSTITUTE(SUBSTITUTE(D17,"　","")," ",""))</f>
        <v/>
      </c>
      <c r="M17" s="321"/>
      <c r="N17" s="24"/>
      <c r="O17" s="57"/>
      <c r="P17" s="24"/>
      <c r="Q17" s="24"/>
      <c r="R17" s="24"/>
      <c r="S17" s="1" t="str">
        <f>IF(K17="","",1)</f>
        <v/>
      </c>
      <c r="T17" s="57" t="s">
        <v>200</v>
      </c>
      <c r="V17" s="59"/>
      <c r="W17" s="408"/>
      <c r="X17" s="408" t="str">
        <f>+IF(OR(K17="1",K17="2",K17="3"),1,"-")</f>
        <v>-</v>
      </c>
      <c r="Y17" s="408"/>
      <c r="Z17" s="60"/>
    </row>
    <row r="18" spans="1:37">
      <c r="C18" s="23" t="str">
        <f>+実施シート!C22</f>
        <v>○ Oxidizing solids</v>
      </c>
      <c r="D18" s="60" t="str">
        <f>+ASC(実施シート!F22)</f>
        <v/>
      </c>
      <c r="E18" s="133"/>
      <c r="G18" s="23">
        <v>14</v>
      </c>
      <c r="H18" s="24" t="str">
        <f t="shared" si="0"/>
        <v>○ Oxidizing solids</v>
      </c>
      <c r="I18" s="24"/>
      <c r="J18" s="1"/>
      <c r="K18" s="136" t="str">
        <f t="shared" ref="K18:K20" si="2">+IF(D18="","",SUBSTITUTE(SUBSTITUTE(D18,"　","")," ",""))</f>
        <v/>
      </c>
      <c r="L18" s="47"/>
      <c r="M18" s="321"/>
      <c r="N18" s="24"/>
      <c r="O18" s="57"/>
      <c r="P18" s="24"/>
      <c r="Q18" s="24"/>
      <c r="R18" s="24"/>
      <c r="S18" s="1" t="str">
        <f>IF(K18="","",1)</f>
        <v/>
      </c>
      <c r="T18" s="57" t="s">
        <v>200</v>
      </c>
      <c r="U18" s="24"/>
      <c r="V18" s="59"/>
      <c r="W18" s="408"/>
      <c r="X18" s="408" t="str">
        <f>+IF(OR(K18="1",K18="2",K18="3"),1,"-")</f>
        <v>-</v>
      </c>
      <c r="Y18" s="408"/>
      <c r="Z18" s="60"/>
    </row>
    <row r="19" spans="1:37">
      <c r="C19" s="23" t="str">
        <f>+実施シート!C23</f>
        <v>● Organic peroxides</v>
      </c>
      <c r="D19" s="60" t="str">
        <f>+ASC(実施シート!F23)</f>
        <v/>
      </c>
      <c r="E19" s="133"/>
      <c r="G19" s="23">
        <v>15</v>
      </c>
      <c r="H19" s="24" t="str">
        <f t="shared" si="0"/>
        <v>● Organic peroxides</v>
      </c>
      <c r="I19" s="24"/>
      <c r="J19" s="1"/>
      <c r="K19" s="136" t="str">
        <f t="shared" si="2"/>
        <v/>
      </c>
      <c r="L19" s="133"/>
      <c r="M19" s="321" t="s">
        <v>640</v>
      </c>
      <c r="N19" s="24"/>
      <c r="O19" s="37" t="str">
        <f>+D19</f>
        <v/>
      </c>
      <c r="P19" s="24">
        <f>+COUNTIF(AD10:AJ10,O19)</f>
        <v>0</v>
      </c>
      <c r="Q19" s="24"/>
      <c r="R19" s="24"/>
      <c r="S19" s="1"/>
      <c r="T19" s="57" t="str">
        <f>IF(P19=1,M19&amp;D19&amp;" ","")</f>
        <v/>
      </c>
      <c r="U19" s="24"/>
      <c r="V19" s="59" t="str">
        <f>+IF(OR(K19="A",K19="B"),1,"-")</f>
        <v>-</v>
      </c>
      <c r="W19" s="408" t="str">
        <f>+IF(OR(K19="B",K19="C",K19="D",K19="E", K19="F"),1,"-")</f>
        <v>-</v>
      </c>
      <c r="X19" s="408"/>
      <c r="Y19" s="408"/>
      <c r="Z19" s="60"/>
    </row>
    <row r="20" spans="1:37" ht="19.5" thickBot="1">
      <c r="C20" s="28" t="str">
        <f>+実施シート!C24</f>
        <v>○ Corrosive to metals</v>
      </c>
      <c r="D20" s="62" t="str">
        <f>+ASC(実施シート!F24)</f>
        <v/>
      </c>
      <c r="E20" s="133"/>
      <c r="G20" s="28">
        <v>16</v>
      </c>
      <c r="H20" s="29" t="str">
        <f t="shared" si="0"/>
        <v>○ Corrosive to metals</v>
      </c>
      <c r="I20" s="29"/>
      <c r="J20" s="2"/>
      <c r="K20" s="137" t="str">
        <f t="shared" si="2"/>
        <v/>
      </c>
      <c r="L20" s="133"/>
      <c r="M20" s="28"/>
      <c r="N20" s="29"/>
      <c r="O20" s="44"/>
      <c r="P20" s="29"/>
      <c r="Q20" s="29"/>
      <c r="R20" s="29"/>
      <c r="S20" s="2"/>
      <c r="T20" s="44" t="s">
        <v>200</v>
      </c>
      <c r="U20" s="24"/>
      <c r="V20" s="61"/>
      <c r="W20" s="74"/>
      <c r="X20" s="74"/>
      <c r="Y20" s="74">
        <f>IF(K20="1",1,0)</f>
        <v>0</v>
      </c>
      <c r="Z20" s="62"/>
    </row>
    <row r="21" spans="1:37" ht="19.5" thickBot="1">
      <c r="C21" s="24"/>
      <c r="D21" s="133"/>
      <c r="E21" s="133"/>
      <c r="G21" s="24"/>
      <c r="H21" s="24"/>
      <c r="I21" s="24"/>
      <c r="J21" s="24"/>
      <c r="K21" s="46"/>
      <c r="L21" s="133"/>
      <c r="M21" s="24"/>
      <c r="O21" s="24"/>
      <c r="P21" s="54">
        <f>IF(COUNTIF(P12:P19,1)&gt;=1, 1, 0)</f>
        <v>0</v>
      </c>
      <c r="Q21" s="55">
        <f>Q5</f>
        <v>0</v>
      </c>
      <c r="R21" s="55">
        <f>R10</f>
        <v>0</v>
      </c>
      <c r="S21" s="138">
        <f>IF(COUNTIF(S12:S19,1)&gt;=1, 1, 0)</f>
        <v>0</v>
      </c>
      <c r="T21" s="164" t="str">
        <f>T12&amp;T13&amp;T14&amp;T16&amp;T19</f>
        <v/>
      </c>
      <c r="U21" s="24"/>
      <c r="V21" s="446">
        <f>IF(COUNTIF(V5:V20,1)&gt;=1, 1, 0)</f>
        <v>0</v>
      </c>
      <c r="W21" s="400">
        <f t="shared" ref="W21:Y21" si="3">IF(COUNTIF(W5:W20,1)&gt;=1, 1, 0)</f>
        <v>0</v>
      </c>
      <c r="X21" s="400">
        <f t="shared" si="3"/>
        <v>0</v>
      </c>
      <c r="Y21" s="400">
        <f t="shared" si="3"/>
        <v>0</v>
      </c>
      <c r="Z21" s="399"/>
      <c r="AG21" t="s">
        <v>198</v>
      </c>
    </row>
    <row r="22" spans="1:37" ht="19.5" thickBot="1">
      <c r="B22" s="24"/>
      <c r="C22" s="24"/>
      <c r="D22" s="133"/>
      <c r="E22" s="133"/>
      <c r="F22" s="24"/>
      <c r="G22" s="40"/>
      <c r="H22" s="24"/>
      <c r="I22" s="24"/>
      <c r="J22" s="24"/>
      <c r="K22" s="24" t="s">
        <v>231</v>
      </c>
      <c r="L22" s="133"/>
      <c r="M22" s="24"/>
      <c r="N22" s="24"/>
      <c r="O22" s="24"/>
      <c r="P22" s="24"/>
      <c r="Q22" s="24"/>
      <c r="AB22" t="s">
        <v>197</v>
      </c>
      <c r="AC22" s="24"/>
      <c r="AD22" s="24"/>
      <c r="AF22" s="24" t="s">
        <v>81</v>
      </c>
      <c r="AH22" t="s">
        <v>82</v>
      </c>
    </row>
    <row r="23" spans="1:37">
      <c r="G23" s="58"/>
      <c r="H23" s="22"/>
      <c r="I23" s="22"/>
      <c r="J23" s="45"/>
      <c r="K23" s="68" t="s">
        <v>37</v>
      </c>
      <c r="L23" s="58" t="s">
        <v>38</v>
      </c>
      <c r="M23" s="58" t="s">
        <v>60</v>
      </c>
      <c r="N23" s="72" t="s">
        <v>76</v>
      </c>
      <c r="O23" s="72" t="s">
        <v>77</v>
      </c>
      <c r="P23" s="73" t="s">
        <v>84</v>
      </c>
      <c r="Q23" s="160" t="s">
        <v>201</v>
      </c>
      <c r="R23" s="75" t="s">
        <v>236</v>
      </c>
      <c r="S23" s="73" t="s">
        <v>237</v>
      </c>
      <c r="U23" s="46" t="s">
        <v>241</v>
      </c>
      <c r="V23" s="21"/>
      <c r="W23" s="22"/>
      <c r="X23" s="447" t="s">
        <v>229</v>
      </c>
      <c r="Y23" s="22" t="s">
        <v>229</v>
      </c>
      <c r="Z23" s="450" t="s">
        <v>229</v>
      </c>
      <c r="AA23" s="45" t="s">
        <v>225</v>
      </c>
      <c r="AB23" s="21" t="s">
        <v>60</v>
      </c>
      <c r="AC23" s="22" t="s">
        <v>76</v>
      </c>
      <c r="AD23" s="45" t="s">
        <v>77</v>
      </c>
      <c r="AF23" s="117"/>
      <c r="AG23" s="50" t="s">
        <v>22</v>
      </c>
      <c r="AH23" s="51" t="s">
        <v>23</v>
      </c>
      <c r="AI23" s="51" t="s">
        <v>24</v>
      </c>
      <c r="AJ23" s="51" t="s">
        <v>25</v>
      </c>
      <c r="AK23" s="52" t="s">
        <v>26</v>
      </c>
    </row>
    <row r="24" spans="1:37" ht="19.5" thickBot="1">
      <c r="E24" s="133"/>
      <c r="G24" s="61"/>
      <c r="H24" s="29"/>
      <c r="I24" s="29"/>
      <c r="J24" s="2"/>
      <c r="K24" s="29"/>
      <c r="L24" s="61" t="s">
        <v>39</v>
      </c>
      <c r="M24" s="61" t="s">
        <v>310</v>
      </c>
      <c r="N24" s="74" t="s">
        <v>78</v>
      </c>
      <c r="O24" s="74" t="s">
        <v>78</v>
      </c>
      <c r="P24" s="62" t="s">
        <v>83</v>
      </c>
      <c r="Q24" s="137" t="s">
        <v>234</v>
      </c>
      <c r="R24" s="70" t="s">
        <v>234</v>
      </c>
      <c r="S24" s="166" t="s">
        <v>234</v>
      </c>
      <c r="U24" s="40"/>
      <c r="V24" s="28" t="s">
        <v>227</v>
      </c>
      <c r="W24" s="29" t="s">
        <v>228</v>
      </c>
      <c r="X24" s="448" t="s">
        <v>398</v>
      </c>
      <c r="Y24" s="326" t="s">
        <v>397</v>
      </c>
      <c r="Z24" s="451" t="s">
        <v>399</v>
      </c>
      <c r="AA24" s="62" t="s">
        <v>396</v>
      </c>
      <c r="AB24" s="28" t="s">
        <v>80</v>
      </c>
      <c r="AC24" s="29"/>
      <c r="AD24" s="2"/>
      <c r="AF24" s="44" t="s">
        <v>83</v>
      </c>
      <c r="AG24" s="30">
        <v>1</v>
      </c>
      <c r="AH24" s="31">
        <v>2</v>
      </c>
      <c r="AI24" s="31">
        <v>3</v>
      </c>
      <c r="AJ24" s="31">
        <v>4</v>
      </c>
      <c r="AK24" s="32">
        <v>5</v>
      </c>
    </row>
    <row r="25" spans="1:37">
      <c r="C25" s="21" t="str">
        <f>+実施シート!C27</f>
        <v>● Acute toxicity</v>
      </c>
      <c r="D25" s="129" t="str">
        <f>+ASC(実施シート!F27)</f>
        <v/>
      </c>
      <c r="E25" s="133"/>
      <c r="G25" s="59">
        <v>1</v>
      </c>
      <c r="H25" s="24" t="s">
        <v>485</v>
      </c>
      <c r="I25" s="24" t="s">
        <v>27</v>
      </c>
      <c r="J25" s="1"/>
      <c r="K25" s="46" t="str">
        <f t="shared" ref="K25:K42" si="4">+IF(D25="","",VLOOKUP(D25,$D$58:$E$66,2,FALSE))</f>
        <v/>
      </c>
      <c r="L25" s="79" t="str">
        <f t="shared" ref="L25:L42" si="5">+IF(K25="","",HLOOKUP(K25,$AG$24:$AK$42,G25+1,FALSE))</f>
        <v/>
      </c>
      <c r="M25" s="59">
        <f>+IF(OR(K25=1,K25=2),1,0)</f>
        <v>0</v>
      </c>
      <c r="N25" s="47"/>
      <c r="O25" s="47"/>
      <c r="P25" s="60"/>
      <c r="Q25" s="57" t="str">
        <f>IF(M25=1,H25&amp;K25&amp;" ","")</f>
        <v/>
      </c>
      <c r="R25" s="23" t="s">
        <v>235</v>
      </c>
      <c r="S25" s="1" t="s">
        <v>238</v>
      </c>
      <c r="U25" s="40"/>
      <c r="V25" s="58" t="str">
        <f>+IF(OR(K25=1,K25=2,K25=3),1,"-")</f>
        <v>-</v>
      </c>
      <c r="W25" s="68"/>
      <c r="X25" s="447"/>
      <c r="Y25" s="22"/>
      <c r="Z25" s="452" t="str">
        <f>+IF(K25=4,1,"-")</f>
        <v>-</v>
      </c>
      <c r="AA25" s="129"/>
      <c r="AB25" s="23" t="s">
        <v>61</v>
      </c>
      <c r="AC25" s="24"/>
      <c r="AD25" s="1"/>
      <c r="AF25" s="37"/>
      <c r="AG25" s="25" t="s">
        <v>200</v>
      </c>
      <c r="AH25" s="26" t="s">
        <v>200</v>
      </c>
      <c r="AI25" s="26" t="s">
        <v>200</v>
      </c>
      <c r="AJ25" s="26" t="s">
        <v>200</v>
      </c>
      <c r="AK25" s="27">
        <v>1</v>
      </c>
    </row>
    <row r="26" spans="1:37">
      <c r="C26" s="23" t="str">
        <f>+実施シート!C28</f>
        <v>　　　（Oral）</v>
      </c>
      <c r="D26" s="60" t="str">
        <f>+ASC(実施シート!F28)</f>
        <v/>
      </c>
      <c r="E26" s="133"/>
      <c r="G26" s="69">
        <v>2</v>
      </c>
      <c r="H26" s="24"/>
      <c r="I26" s="24" t="s">
        <v>630</v>
      </c>
      <c r="J26" s="1"/>
      <c r="K26" s="46" t="str">
        <f t="shared" si="4"/>
        <v/>
      </c>
      <c r="L26" s="79" t="str">
        <f>+IF(K26="","",HLOOKUP(K26,$AG$24:$AK$42,G26+1,FALSE))</f>
        <v/>
      </c>
      <c r="M26" s="59">
        <f t="shared" ref="M26:M29" si="6">+IF(OR(K26=1,K26=2),1,0)</f>
        <v>0</v>
      </c>
      <c r="N26" s="47"/>
      <c r="O26" s="47"/>
      <c r="P26" s="60"/>
      <c r="Q26" s="57" t="str">
        <f>IF(M26=1,"Acute toxicity(Oral) "&amp;K26&amp;" ","")</f>
        <v/>
      </c>
      <c r="R26" s="23" t="s">
        <v>235</v>
      </c>
      <c r="S26" s="1" t="str">
        <f>IF(L26=4,H25&amp;"(Oral)"&amp;K26&amp;" ","")</f>
        <v/>
      </c>
      <c r="U26" s="40">
        <v>4</v>
      </c>
      <c r="V26" s="59" t="str">
        <f>+IF(OR(K26=1,K26=2,K26=3),1,"-")</f>
        <v>-</v>
      </c>
      <c r="W26" s="408"/>
      <c r="X26" s="7"/>
      <c r="Y26" s="24"/>
      <c r="Z26" s="92" t="str">
        <f>+IF(K26=4,1,"-")</f>
        <v>-</v>
      </c>
      <c r="AA26" s="60"/>
      <c r="AB26" s="23" t="s">
        <v>61</v>
      </c>
      <c r="AC26" s="24"/>
      <c r="AD26" s="1"/>
      <c r="AF26" s="37"/>
      <c r="AG26" s="25">
        <v>4</v>
      </c>
      <c r="AH26" s="26">
        <v>4</v>
      </c>
      <c r="AI26" s="26">
        <v>3</v>
      </c>
      <c r="AJ26" s="26">
        <v>2</v>
      </c>
      <c r="AK26" s="27">
        <v>1</v>
      </c>
    </row>
    <row r="27" spans="1:37">
      <c r="C27" s="23" t="str">
        <f>+実施シート!C29</f>
        <v>　　　（Dermal）</v>
      </c>
      <c r="D27" s="60" t="str">
        <f>+ASC(実施シート!F29)</f>
        <v/>
      </c>
      <c r="E27" s="133"/>
      <c r="G27" s="69">
        <v>3</v>
      </c>
      <c r="H27" s="24"/>
      <c r="I27" s="24" t="s">
        <v>631</v>
      </c>
      <c r="J27" s="1"/>
      <c r="K27" s="46" t="str">
        <f t="shared" si="4"/>
        <v/>
      </c>
      <c r="L27" s="79" t="str">
        <f t="shared" si="5"/>
        <v/>
      </c>
      <c r="M27" s="59">
        <f t="shared" si="6"/>
        <v>0</v>
      </c>
      <c r="N27" s="47"/>
      <c r="O27" s="47"/>
      <c r="P27" s="60">
        <f>+IF(K27="",0,1)</f>
        <v>0</v>
      </c>
      <c r="Q27" s="57" t="str">
        <f>IF(M27=1,"Acute toxicity(Dermal) "&amp;K27&amp;" ","")</f>
        <v/>
      </c>
      <c r="R27" s="23" t="s">
        <v>235</v>
      </c>
      <c r="S27" s="1" t="str">
        <f>IF(L27=4,H25&amp;"(Dermal)"&amp;K27&amp;" ","")</f>
        <v/>
      </c>
      <c r="U27" s="40">
        <v>4</v>
      </c>
      <c r="V27" s="59" t="str">
        <f>+IF(OR(K27=1,K27=2,K27=3),1,"-")</f>
        <v>-</v>
      </c>
      <c r="W27" s="408"/>
      <c r="X27" s="7"/>
      <c r="Y27" s="24"/>
      <c r="Z27" s="92" t="str">
        <f>+IF(K27=4,1,"-")</f>
        <v>-</v>
      </c>
      <c r="AA27" s="60"/>
      <c r="AB27" s="23" t="s">
        <v>61</v>
      </c>
      <c r="AC27" s="24"/>
      <c r="AD27" s="1"/>
      <c r="AF27" s="37" t="s">
        <v>79</v>
      </c>
      <c r="AG27" s="25">
        <v>4</v>
      </c>
      <c r="AH27" s="26">
        <v>3</v>
      </c>
      <c r="AI27" s="26">
        <v>3</v>
      </c>
      <c r="AJ27" s="26">
        <v>2</v>
      </c>
      <c r="AK27" s="27">
        <v>1</v>
      </c>
    </row>
    <row r="28" spans="1:37">
      <c r="C28" s="23" t="str">
        <f>+実施シート!C30</f>
        <v>　　　（Inhalation）Dust and mists</v>
      </c>
      <c r="D28" s="60" t="str">
        <f>+ASC(実施シート!F30)</f>
        <v/>
      </c>
      <c r="E28" s="133"/>
      <c r="G28" s="69">
        <v>4</v>
      </c>
      <c r="H28" s="24"/>
      <c r="I28" s="24" t="s">
        <v>632</v>
      </c>
      <c r="J28" s="1" t="s">
        <v>28</v>
      </c>
      <c r="K28" s="46" t="str">
        <f t="shared" si="4"/>
        <v/>
      </c>
      <c r="L28" s="79" t="str">
        <f t="shared" si="5"/>
        <v/>
      </c>
      <c r="M28" s="59">
        <f t="shared" si="6"/>
        <v>0</v>
      </c>
      <c r="N28" s="47"/>
      <c r="O28" s="47"/>
      <c r="P28" s="60"/>
      <c r="Q28" s="57" t="str">
        <f>IF(M28=1,"Acute toxicity(Inhalation) "&amp;K28&amp;" ","")</f>
        <v/>
      </c>
      <c r="R28" s="23" t="s">
        <v>235</v>
      </c>
      <c r="S28" s="1" t="str">
        <f>IF(L28=4,H25&amp;"(Inhalation)"&amp;K28&amp;" ","")</f>
        <v/>
      </c>
      <c r="U28" s="40">
        <v>4</v>
      </c>
      <c r="V28" s="59" t="str">
        <f>+IF(OR(K28=1,K28=2,K28=3),1,"-")</f>
        <v>-</v>
      </c>
      <c r="W28" s="408"/>
      <c r="X28" s="7"/>
      <c r="Y28" s="24"/>
      <c r="Z28" s="92" t="str">
        <f>+IF(K28=4,1,"-")</f>
        <v>-</v>
      </c>
      <c r="AA28" s="60"/>
      <c r="AB28" s="23" t="s">
        <v>61</v>
      </c>
      <c r="AC28" s="24"/>
      <c r="AD28" s="1"/>
      <c r="AF28" s="37"/>
      <c r="AG28" s="25">
        <v>4</v>
      </c>
      <c r="AH28" s="26">
        <v>4</v>
      </c>
      <c r="AI28" s="26">
        <v>3</v>
      </c>
      <c r="AJ28" s="26">
        <v>2</v>
      </c>
      <c r="AK28" s="27">
        <v>1</v>
      </c>
    </row>
    <row r="29" spans="1:37">
      <c r="C29" s="23" t="str">
        <f>+実施シート!C31</f>
        <v>　　　（Inhalation）Gases and vapours</v>
      </c>
      <c r="D29" s="60" t="str">
        <f>+ASC(実施シート!F31)</f>
        <v/>
      </c>
      <c r="E29" s="133"/>
      <c r="G29" s="69">
        <v>5</v>
      </c>
      <c r="H29" s="24"/>
      <c r="I29" s="24"/>
      <c r="J29" s="1" t="s">
        <v>29</v>
      </c>
      <c r="K29" s="46" t="str">
        <f t="shared" si="4"/>
        <v/>
      </c>
      <c r="L29" s="79" t="str">
        <f t="shared" si="5"/>
        <v/>
      </c>
      <c r="M29" s="59">
        <f t="shared" si="6"/>
        <v>0</v>
      </c>
      <c r="N29" s="47"/>
      <c r="O29" s="47"/>
      <c r="P29" s="60"/>
      <c r="Q29" s="57" t="str">
        <f>IF(M29=1,"Acute toxicity(Inhalation) "&amp;K29&amp;" ","")</f>
        <v/>
      </c>
      <c r="R29" s="23" t="s">
        <v>235</v>
      </c>
      <c r="S29" s="1" t="str">
        <f>IF(L29=4,H25&amp;"(Inhalation)"&amp;K29&amp;" ","")</f>
        <v/>
      </c>
      <c r="U29" s="40">
        <v>4</v>
      </c>
      <c r="V29" s="59" t="str">
        <f>+IF(OR(K29=1,K29=2,K29=3),1,"-")</f>
        <v>-</v>
      </c>
      <c r="W29" s="408"/>
      <c r="X29" s="7"/>
      <c r="Y29" s="24"/>
      <c r="Z29" s="92" t="str">
        <f>+IF(K29=4,1,"-")</f>
        <v>-</v>
      </c>
      <c r="AA29" s="60"/>
      <c r="AB29" s="23" t="s">
        <v>61</v>
      </c>
      <c r="AC29" s="24"/>
      <c r="AD29" s="1"/>
      <c r="AF29" s="37"/>
      <c r="AG29" s="25">
        <v>4</v>
      </c>
      <c r="AH29" s="26">
        <v>3</v>
      </c>
      <c r="AI29" s="26">
        <v>2</v>
      </c>
      <c r="AJ29" s="26">
        <v>2</v>
      </c>
      <c r="AK29" s="27">
        <v>1</v>
      </c>
    </row>
    <row r="30" spans="1:37">
      <c r="C30" s="23" t="str">
        <f>+実施シート!C32</f>
        <v>● Skin corrosion/Irritation</v>
      </c>
      <c r="D30" s="60" t="str">
        <f>+ASC(実施シート!F32)</f>
        <v/>
      </c>
      <c r="E30" s="133"/>
      <c r="G30" s="69">
        <v>6</v>
      </c>
      <c r="H30" s="24" t="s">
        <v>627</v>
      </c>
      <c r="I30" s="24"/>
      <c r="J30" s="1"/>
      <c r="K30" s="46" t="str">
        <f t="shared" si="4"/>
        <v/>
      </c>
      <c r="L30" s="79" t="str">
        <f t="shared" si="5"/>
        <v/>
      </c>
      <c r="M30" s="59"/>
      <c r="N30" s="47"/>
      <c r="O30" s="47">
        <f>IF(K30=1,1,0)</f>
        <v>0</v>
      </c>
      <c r="P30" s="60">
        <f>+IF(K30="",0,1)</f>
        <v>0</v>
      </c>
      <c r="Q30" s="57" t="s">
        <v>235</v>
      </c>
      <c r="R30" s="23" t="s">
        <v>235</v>
      </c>
      <c r="S30" s="1" t="s">
        <v>238</v>
      </c>
      <c r="U30" s="40">
        <v>3</v>
      </c>
      <c r="V30" s="59"/>
      <c r="W30" s="408"/>
      <c r="X30" s="19" t="str">
        <f>+IF(K30=2,1,"-")</f>
        <v>-</v>
      </c>
      <c r="Y30" s="24"/>
      <c r="Z30" s="8"/>
      <c r="AA30" s="60" t="str">
        <f>+IF(K30=1,1,"-")</f>
        <v>-</v>
      </c>
      <c r="AB30" s="23"/>
      <c r="AC30" s="24"/>
      <c r="AD30" s="1">
        <v>1</v>
      </c>
      <c r="AF30" s="37" t="s">
        <v>79</v>
      </c>
      <c r="AG30" s="25">
        <v>3</v>
      </c>
      <c r="AH30" s="26">
        <v>1</v>
      </c>
      <c r="AI30" s="26">
        <v>1</v>
      </c>
      <c r="AJ30" s="26" t="s">
        <v>200</v>
      </c>
      <c r="AK30" s="27" t="s">
        <v>200</v>
      </c>
    </row>
    <row r="31" spans="1:37">
      <c r="A31" t="s">
        <v>63</v>
      </c>
      <c r="C31" s="23" t="str">
        <f>+実施シート!C33</f>
        <v>● Serious eye damage/Eye irritation</v>
      </c>
      <c r="D31" s="60" t="str">
        <f>+ASC(実施シート!F33)</f>
        <v/>
      </c>
      <c r="E31" s="133"/>
      <c r="G31" s="59">
        <v>7</v>
      </c>
      <c r="H31" s="24" t="s">
        <v>628</v>
      </c>
      <c r="I31" s="24"/>
      <c r="J31" s="1"/>
      <c r="K31" s="46" t="str">
        <f t="shared" si="4"/>
        <v/>
      </c>
      <c r="L31" s="79" t="str">
        <f t="shared" si="5"/>
        <v/>
      </c>
      <c r="M31" s="59"/>
      <c r="N31" s="47">
        <f>+IF(K31=1,1,0)</f>
        <v>0</v>
      </c>
      <c r="O31" s="47"/>
      <c r="P31" s="60">
        <f>+IF(K31="",0,1)</f>
        <v>0</v>
      </c>
      <c r="Q31" s="57" t="s">
        <v>235</v>
      </c>
      <c r="R31" s="23" t="s">
        <v>235</v>
      </c>
      <c r="S31" s="1" t="s">
        <v>238</v>
      </c>
      <c r="U31" s="40">
        <v>3</v>
      </c>
      <c r="V31" s="59"/>
      <c r="W31" s="408"/>
      <c r="X31" s="454" t="str">
        <f>+IF(K31=2,IF(OR(D31="2",D31="2A"),1,"-"),"-")</f>
        <v>-</v>
      </c>
      <c r="Y31" s="24"/>
      <c r="Z31" s="8"/>
      <c r="AA31" s="60" t="str">
        <f>+IF(K31=1,1,"-")</f>
        <v>-</v>
      </c>
      <c r="AB31" s="23"/>
      <c r="AC31" s="24">
        <v>1</v>
      </c>
      <c r="AD31" s="1"/>
      <c r="AF31" s="37" t="s">
        <v>79</v>
      </c>
      <c r="AG31" s="25">
        <v>3</v>
      </c>
      <c r="AH31" s="26">
        <v>1</v>
      </c>
      <c r="AI31" s="26" t="s">
        <v>200</v>
      </c>
      <c r="AJ31" s="26" t="s">
        <v>200</v>
      </c>
      <c r="AK31" s="27" t="s">
        <v>200</v>
      </c>
    </row>
    <row r="32" spans="1:37">
      <c r="A32" t="s">
        <v>64</v>
      </c>
      <c r="C32" s="23" t="str">
        <f>+実施シート!C34</f>
        <v>○ Respiratory sensitization</v>
      </c>
      <c r="D32" s="60" t="str">
        <f>+ASC(実施シート!F34)</f>
        <v/>
      </c>
      <c r="E32" s="133"/>
      <c r="G32" s="69">
        <v>8</v>
      </c>
      <c r="H32" s="24" t="s">
        <v>629</v>
      </c>
      <c r="I32" s="24"/>
      <c r="J32" s="1"/>
      <c r="K32" s="46" t="str">
        <f t="shared" si="4"/>
        <v/>
      </c>
      <c r="L32" s="79" t="str">
        <f t="shared" si="5"/>
        <v/>
      </c>
      <c r="M32" s="59"/>
      <c r="N32" s="47"/>
      <c r="O32" s="47"/>
      <c r="P32" s="60"/>
      <c r="Q32" s="57" t="s">
        <v>235</v>
      </c>
      <c r="R32" s="23" t="str">
        <f>IF(L32=5,H32&amp;K32&amp;" ","")</f>
        <v/>
      </c>
      <c r="S32" s="1" t="s">
        <v>235</v>
      </c>
      <c r="U32" s="40">
        <v>5</v>
      </c>
      <c r="V32" s="59"/>
      <c r="W32" s="408" t="str">
        <f>IF(K32=1,1,"-")</f>
        <v>-</v>
      </c>
      <c r="X32" s="7"/>
      <c r="Y32" s="24"/>
      <c r="Z32" s="92"/>
      <c r="AA32" s="60"/>
      <c r="AB32" s="23"/>
      <c r="AC32" s="24"/>
      <c r="AD32" s="1"/>
      <c r="AF32" s="37"/>
      <c r="AG32" s="25">
        <v>5</v>
      </c>
      <c r="AH32" s="26" t="s">
        <v>200</v>
      </c>
      <c r="AI32" s="26" t="s">
        <v>200</v>
      </c>
      <c r="AJ32" s="26" t="s">
        <v>200</v>
      </c>
      <c r="AK32" s="27" t="s">
        <v>200</v>
      </c>
    </row>
    <row r="33" spans="1:37">
      <c r="A33" t="s">
        <v>64</v>
      </c>
      <c r="C33" s="23" t="s">
        <v>641</v>
      </c>
      <c r="D33" s="60" t="str">
        <f>+ASC(実施シート!F35)</f>
        <v/>
      </c>
      <c r="E33" s="133"/>
      <c r="G33" s="69">
        <v>9</v>
      </c>
      <c r="H33" s="24" t="s">
        <v>642</v>
      </c>
      <c r="I33" s="24"/>
      <c r="J33" s="1"/>
      <c r="K33" s="46" t="str">
        <f t="shared" si="4"/>
        <v/>
      </c>
      <c r="L33" s="79" t="str">
        <f t="shared" si="5"/>
        <v/>
      </c>
      <c r="M33" s="59"/>
      <c r="N33" s="47"/>
      <c r="O33" s="47"/>
      <c r="P33" s="60">
        <f>+IF(K33="",0,1)</f>
        <v>0</v>
      </c>
      <c r="Q33" s="57" t="s">
        <v>235</v>
      </c>
      <c r="R33" s="23" t="s">
        <v>235</v>
      </c>
      <c r="S33" s="1" t="str">
        <f>IF(L33=4,H33&amp;K33&amp;" ","")</f>
        <v/>
      </c>
      <c r="U33" s="40">
        <v>3</v>
      </c>
      <c r="V33" s="59"/>
      <c r="W33" s="408"/>
      <c r="X33" s="7"/>
      <c r="Y33" s="408" t="str">
        <f>IF(K33=1,1,"-")</f>
        <v>-</v>
      </c>
      <c r="Z33" s="8"/>
      <c r="AA33" s="60"/>
      <c r="AB33" s="23"/>
      <c r="AC33" s="24"/>
      <c r="AD33" s="1"/>
      <c r="AF33" s="37" t="s">
        <v>41</v>
      </c>
      <c r="AG33" s="25">
        <v>3</v>
      </c>
      <c r="AH33" s="26" t="s">
        <v>200</v>
      </c>
      <c r="AI33" s="26" t="s">
        <v>200</v>
      </c>
      <c r="AJ33" s="26" t="s">
        <v>200</v>
      </c>
      <c r="AK33" s="27" t="s">
        <v>200</v>
      </c>
    </row>
    <row r="34" spans="1:37">
      <c r="A34" t="s">
        <v>64</v>
      </c>
      <c r="C34" s="23" t="str">
        <f>+実施シート!C36</f>
        <v>○ Germ cell mutagenicity</v>
      </c>
      <c r="D34" s="60" t="str">
        <f>+ASC(実施シート!F36)</f>
        <v/>
      </c>
      <c r="E34" s="133"/>
      <c r="G34" s="69">
        <v>10</v>
      </c>
      <c r="H34" s="24" t="s">
        <v>643</v>
      </c>
      <c r="I34" s="24"/>
      <c r="J34" s="1"/>
      <c r="K34" s="46" t="str">
        <f t="shared" si="4"/>
        <v/>
      </c>
      <c r="L34" s="79" t="str">
        <f t="shared" si="5"/>
        <v/>
      </c>
      <c r="M34" s="59"/>
      <c r="N34" s="47"/>
      <c r="O34" s="47"/>
      <c r="P34" s="60"/>
      <c r="Q34" s="57" t="s">
        <v>235</v>
      </c>
      <c r="R34" s="23" t="str">
        <f t="shared" ref="R34:R35" si="7">IF(L34=5,H34&amp;K34&amp;" ","")</f>
        <v/>
      </c>
      <c r="S34" s="1" t="s">
        <v>235</v>
      </c>
      <c r="U34" s="40">
        <v>5</v>
      </c>
      <c r="V34" s="59"/>
      <c r="W34" s="408" t="str">
        <f t="shared" ref="W34:W41" si="8">IF(OR(K34=1,K34=2),1,"-")</f>
        <v>-</v>
      </c>
      <c r="X34" s="7"/>
      <c r="Y34" s="24"/>
      <c r="Z34" s="92"/>
      <c r="AA34" s="60"/>
      <c r="AB34" s="23"/>
      <c r="AC34" s="24"/>
      <c r="AD34" s="1"/>
      <c r="AF34" s="37"/>
      <c r="AG34" s="25">
        <v>5</v>
      </c>
      <c r="AH34" s="26">
        <v>5</v>
      </c>
      <c r="AI34" s="26" t="s">
        <v>200</v>
      </c>
      <c r="AJ34" s="26" t="s">
        <v>200</v>
      </c>
      <c r="AK34" s="27" t="s">
        <v>200</v>
      </c>
    </row>
    <row r="35" spans="1:37">
      <c r="A35" t="s">
        <v>64</v>
      </c>
      <c r="C35" s="23" t="str">
        <f>+実施シート!C37</f>
        <v>● Carcinogenicity</v>
      </c>
      <c r="D35" s="60" t="str">
        <f>+ASC(実施シート!F37)</f>
        <v/>
      </c>
      <c r="E35" s="133"/>
      <c r="G35" s="59">
        <v>11</v>
      </c>
      <c r="H35" s="24" t="s">
        <v>626</v>
      </c>
      <c r="I35" s="24"/>
      <c r="J35" s="1"/>
      <c r="K35" s="46" t="str">
        <f t="shared" si="4"/>
        <v/>
      </c>
      <c r="L35" s="79" t="str">
        <f t="shared" si="5"/>
        <v/>
      </c>
      <c r="M35" s="59">
        <f t="shared" ref="M35" si="9">+IF(OR(K35=1,K35=2),1,0)</f>
        <v>0</v>
      </c>
      <c r="N35" s="47"/>
      <c r="O35" s="47"/>
      <c r="P35" s="60"/>
      <c r="Q35" s="57" t="str">
        <f>IF(M35=1,H35&amp;" "&amp;K35&amp;" ","")</f>
        <v/>
      </c>
      <c r="R35" s="23" t="str">
        <f t="shared" si="7"/>
        <v/>
      </c>
      <c r="S35" s="1" t="s">
        <v>235</v>
      </c>
      <c r="U35" s="40">
        <v>5</v>
      </c>
      <c r="V35" s="59"/>
      <c r="W35" s="408" t="str">
        <f t="shared" si="8"/>
        <v>-</v>
      </c>
      <c r="X35" s="7"/>
      <c r="Y35" s="24"/>
      <c r="Z35" s="92"/>
      <c r="AA35" s="60"/>
      <c r="AB35" s="23" t="s">
        <v>61</v>
      </c>
      <c r="AC35" s="24"/>
      <c r="AD35" s="1"/>
      <c r="AF35" s="37"/>
      <c r="AG35" s="25">
        <v>5</v>
      </c>
      <c r="AH35" s="26">
        <v>5</v>
      </c>
      <c r="AI35" s="26" t="s">
        <v>200</v>
      </c>
      <c r="AJ35" s="26" t="s">
        <v>200</v>
      </c>
      <c r="AK35" s="27" t="s">
        <v>200</v>
      </c>
    </row>
    <row r="36" spans="1:37">
      <c r="A36" t="s">
        <v>64</v>
      </c>
      <c r="C36" s="23" t="str">
        <f>+実施シート!C38</f>
        <v>○ Reproductive toxicity</v>
      </c>
      <c r="D36" s="60" t="str">
        <f>+ASC(実施シート!F38)</f>
        <v/>
      </c>
      <c r="E36" s="133"/>
      <c r="G36" s="69">
        <v>12</v>
      </c>
      <c r="H36" s="67" t="s">
        <v>644</v>
      </c>
      <c r="I36" s="24"/>
      <c r="J36" s="1"/>
      <c r="K36" s="46" t="str">
        <f t="shared" si="4"/>
        <v/>
      </c>
      <c r="L36" s="79" t="str">
        <f t="shared" si="5"/>
        <v/>
      </c>
      <c r="M36" s="59"/>
      <c r="N36" s="47"/>
      <c r="O36" s="47"/>
      <c r="P36" s="60"/>
      <c r="Q36" s="57" t="s">
        <v>235</v>
      </c>
      <c r="R36" s="23" t="s">
        <v>235</v>
      </c>
      <c r="S36" s="1" t="str">
        <f>IF(L36=4,H36&amp;K36&amp;" ","")</f>
        <v/>
      </c>
      <c r="U36" s="40">
        <v>4</v>
      </c>
      <c r="V36" s="59"/>
      <c r="W36" s="408" t="str">
        <f t="shared" si="8"/>
        <v>-</v>
      </c>
      <c r="X36" s="7"/>
      <c r="Y36" s="24"/>
      <c r="Z36" s="92"/>
      <c r="AA36" s="60"/>
      <c r="AB36" s="23"/>
      <c r="AC36" s="24"/>
      <c r="AD36" s="1"/>
      <c r="AF36" s="37"/>
      <c r="AG36" s="48">
        <v>4</v>
      </c>
      <c r="AH36" s="49">
        <v>4</v>
      </c>
      <c r="AI36" s="26" t="s">
        <v>200</v>
      </c>
      <c r="AJ36" s="26" t="s">
        <v>200</v>
      </c>
      <c r="AK36" s="27" t="s">
        <v>200</v>
      </c>
    </row>
    <row r="37" spans="1:37">
      <c r="C37" s="23" t="str">
        <f>+実施シート!C39</f>
        <v>○ Specific target organ toxicity-Sigle exposure</v>
      </c>
      <c r="D37" s="60" t="str">
        <f>+ASC(実施シート!F39)</f>
        <v/>
      </c>
      <c r="E37" s="133"/>
      <c r="G37" s="69">
        <v>13</v>
      </c>
      <c r="H37" s="24" t="s">
        <v>646</v>
      </c>
      <c r="I37" s="24" t="s">
        <v>647</v>
      </c>
      <c r="J37" s="1"/>
      <c r="K37" s="46" t="str">
        <f t="shared" si="4"/>
        <v/>
      </c>
      <c r="L37" s="79" t="str">
        <f t="shared" si="5"/>
        <v/>
      </c>
      <c r="M37" s="59"/>
      <c r="N37" s="47"/>
      <c r="O37" s="47"/>
      <c r="P37" s="60"/>
      <c r="Q37" s="57" t="s">
        <v>235</v>
      </c>
      <c r="R37" s="23" t="s">
        <v>235</v>
      </c>
      <c r="S37" s="1" t="str">
        <f>IF(L37=4,"特定標的(単回)"&amp;K37&amp;" ","")</f>
        <v/>
      </c>
      <c r="U37" s="40">
        <v>4</v>
      </c>
      <c r="V37" s="59"/>
      <c r="W37" s="408" t="str">
        <f t="shared" si="8"/>
        <v>-</v>
      </c>
      <c r="X37" s="7"/>
      <c r="Y37" s="24"/>
      <c r="Z37" s="92" t="str">
        <f>IF(K37=3,1,"-")</f>
        <v>-</v>
      </c>
      <c r="AA37" s="60"/>
      <c r="AB37" s="23"/>
      <c r="AC37" s="24"/>
      <c r="AD37" s="1"/>
      <c r="AF37" s="37"/>
      <c r="AG37" s="25">
        <v>4</v>
      </c>
      <c r="AH37" s="26" t="s">
        <v>200</v>
      </c>
      <c r="AI37" s="26" t="s">
        <v>200</v>
      </c>
      <c r="AJ37" s="26" t="s">
        <v>200</v>
      </c>
      <c r="AK37" s="27" t="s">
        <v>200</v>
      </c>
    </row>
    <row r="38" spans="1:37">
      <c r="C38" s="23" t="str">
        <f>+実施シート!C40</f>
        <v>　　　　　（Other organs）</v>
      </c>
      <c r="D38" s="60" t="str">
        <f>+ASC(実施シート!F40)</f>
        <v/>
      </c>
      <c r="E38" s="237" t="str">
        <f>+実施シート!H40</f>
        <v>(narcotic effects）</v>
      </c>
      <c r="F38" s="238" t="str">
        <f>IF(E38=0,"",E38)</f>
        <v>(narcotic effects）</v>
      </c>
      <c r="G38" s="69">
        <v>14</v>
      </c>
      <c r="H38" s="24"/>
      <c r="I38" s="24"/>
      <c r="J38" s="1" t="s">
        <v>654</v>
      </c>
      <c r="K38" s="46" t="str">
        <f t="shared" si="4"/>
        <v/>
      </c>
      <c r="L38" s="79" t="str">
        <f t="shared" si="5"/>
        <v/>
      </c>
      <c r="M38" s="59"/>
      <c r="N38" s="47"/>
      <c r="O38" s="47"/>
      <c r="P38" s="60"/>
      <c r="Q38" s="57" t="s">
        <v>235</v>
      </c>
      <c r="R38" s="23" t="s">
        <v>235</v>
      </c>
      <c r="S38" s="1" t="str">
        <f>IF(L38=4," Specific Target Organ Toxicity(Single Exposure)"&amp;IF(F38="","Others",F38)&amp;" "&amp;K38&amp;" ","")</f>
        <v/>
      </c>
      <c r="U38" s="40">
        <v>4</v>
      </c>
      <c r="V38" s="59"/>
      <c r="W38" s="408" t="str">
        <f t="shared" si="8"/>
        <v>-</v>
      </c>
      <c r="X38" s="7"/>
      <c r="Y38" s="24"/>
      <c r="Z38" s="92" t="str">
        <f>IF(K38=3,1,"-")</f>
        <v>-</v>
      </c>
      <c r="AA38" s="60"/>
      <c r="AB38" s="23"/>
      <c r="AC38" s="24"/>
      <c r="AD38" s="1"/>
      <c r="AF38" s="37"/>
      <c r="AG38" s="25">
        <v>4</v>
      </c>
      <c r="AH38" s="26">
        <v>2</v>
      </c>
      <c r="AI38" s="26">
        <v>1</v>
      </c>
      <c r="AJ38" s="26" t="s">
        <v>200</v>
      </c>
      <c r="AK38" s="27" t="s">
        <v>200</v>
      </c>
    </row>
    <row r="39" spans="1:37">
      <c r="C39" s="23" t="str">
        <f>+実施シート!C41</f>
        <v>　　　　　（Respiratory system）</v>
      </c>
      <c r="D39" s="60" t="str">
        <f>+ASC(実施シート!F41)</f>
        <v/>
      </c>
      <c r="E39" s="237" t="str">
        <f>+実施シート!H41</f>
        <v>(Respiratory system)</v>
      </c>
      <c r="F39" s="238" t="str">
        <f t="shared" ref="F39:F40" si="10">IF(E39=0,"",E39)</f>
        <v>(Respiratory system)</v>
      </c>
      <c r="G39" s="59">
        <v>15</v>
      </c>
      <c r="H39" s="24"/>
      <c r="I39" s="24"/>
      <c r="J39" s="1" t="s">
        <v>648</v>
      </c>
      <c r="K39" s="46" t="str">
        <f t="shared" si="4"/>
        <v/>
      </c>
      <c r="L39" s="79" t="str">
        <f t="shared" si="5"/>
        <v/>
      </c>
      <c r="M39" s="59"/>
      <c r="N39" s="47"/>
      <c r="O39" s="47"/>
      <c r="P39" s="60"/>
      <c r="Q39" s="161" t="s">
        <v>235</v>
      </c>
      <c r="R39" s="23" t="s">
        <v>235</v>
      </c>
      <c r="S39" s="1" t="str">
        <f>IF(L39=4," Specific Target Organ Toxicity(Single Exposure)"&amp;IF(F39="","Respiratory system",F39)&amp;" "&amp;K39&amp;" ","")</f>
        <v/>
      </c>
      <c r="U39" s="40">
        <v>4</v>
      </c>
      <c r="V39" s="59"/>
      <c r="W39" s="408" t="str">
        <f t="shared" si="8"/>
        <v>-</v>
      </c>
      <c r="X39" s="7"/>
      <c r="Y39" s="24"/>
      <c r="Z39" s="92" t="str">
        <f>IF(K39=3,1,"-")</f>
        <v>-</v>
      </c>
      <c r="AA39" s="60"/>
      <c r="AB39" s="23"/>
      <c r="AC39" s="24"/>
      <c r="AD39" s="1"/>
      <c r="AF39" s="37"/>
      <c r="AG39" s="25">
        <v>4</v>
      </c>
      <c r="AH39" s="26">
        <v>3</v>
      </c>
      <c r="AI39" s="26">
        <v>3</v>
      </c>
      <c r="AJ39" s="26" t="s">
        <v>200</v>
      </c>
      <c r="AK39" s="27" t="s">
        <v>200</v>
      </c>
    </row>
    <row r="40" spans="1:37">
      <c r="C40" s="23" t="str">
        <f>+実施シート!C42</f>
        <v>○ Specific target organ toxicity-Repeated exposure</v>
      </c>
      <c r="D40" s="60" t="str">
        <f>+ASC(実施シート!F42)</f>
        <v/>
      </c>
      <c r="E40" s="237" t="str">
        <f>+実施シート!H42</f>
        <v>(Respiratory system)</v>
      </c>
      <c r="F40" s="238" t="str">
        <f t="shared" si="10"/>
        <v>(Respiratory system)</v>
      </c>
      <c r="G40" s="69">
        <v>16</v>
      </c>
      <c r="H40" s="24" t="s">
        <v>652</v>
      </c>
      <c r="I40" s="24" t="s">
        <v>655</v>
      </c>
      <c r="J40" s="1"/>
      <c r="K40" s="46" t="str">
        <f t="shared" si="4"/>
        <v/>
      </c>
      <c r="L40" s="79" t="str">
        <f t="shared" si="5"/>
        <v/>
      </c>
      <c r="M40" s="59"/>
      <c r="N40" s="47"/>
      <c r="O40" s="47"/>
      <c r="P40" s="60"/>
      <c r="Q40" s="57" t="s">
        <v>235</v>
      </c>
      <c r="R40" s="23" t="s">
        <v>235</v>
      </c>
      <c r="S40" s="1" t="str">
        <f>IF(L40=4," Specific Target Organ Toxicity(Repeated Exposure)"&amp;F40&amp;" "&amp;K40&amp;" ","")</f>
        <v/>
      </c>
      <c r="U40" s="40">
        <v>4</v>
      </c>
      <c r="V40" s="59"/>
      <c r="W40" s="408" t="str">
        <f t="shared" si="8"/>
        <v>-</v>
      </c>
      <c r="X40" s="7"/>
      <c r="Y40" s="24"/>
      <c r="Z40" s="92"/>
      <c r="AA40" s="60"/>
      <c r="AB40" s="23"/>
      <c r="AC40" s="24"/>
      <c r="AD40" s="1"/>
      <c r="AF40" s="37"/>
      <c r="AG40" s="25">
        <v>4</v>
      </c>
      <c r="AH40" s="26">
        <v>3</v>
      </c>
      <c r="AI40" s="26" t="s">
        <v>200</v>
      </c>
      <c r="AJ40" s="26" t="s">
        <v>200</v>
      </c>
      <c r="AK40" s="27" t="s">
        <v>200</v>
      </c>
    </row>
    <row r="41" spans="1:37" ht="19.5" thickBot="1">
      <c r="C41" s="28" t="str">
        <f>+実施シート!C43</f>
        <v>○ Aspiration hazard</v>
      </c>
      <c r="D41" s="62" t="str">
        <f>+ASC(実施シート!F43)</f>
        <v/>
      </c>
      <c r="E41" s="133"/>
      <c r="G41" s="69">
        <v>17</v>
      </c>
      <c r="H41" s="24" t="s">
        <v>653</v>
      </c>
      <c r="I41" s="24"/>
      <c r="J41" s="1"/>
      <c r="K41" s="46" t="str">
        <f t="shared" si="4"/>
        <v/>
      </c>
      <c r="L41" s="79" t="str">
        <f t="shared" si="5"/>
        <v/>
      </c>
      <c r="M41" s="59"/>
      <c r="N41" s="47"/>
      <c r="O41" s="47"/>
      <c r="P41" s="60"/>
      <c r="Q41" s="57" t="s">
        <v>235</v>
      </c>
      <c r="R41" s="23" t="s">
        <v>235</v>
      </c>
      <c r="S41" s="1" t="s">
        <v>235</v>
      </c>
      <c r="U41" s="40">
        <v>1</v>
      </c>
      <c r="V41" s="59"/>
      <c r="W41" s="408" t="str">
        <f t="shared" si="8"/>
        <v>-</v>
      </c>
      <c r="X41" s="7"/>
      <c r="Y41" s="24"/>
      <c r="Z41" s="92"/>
      <c r="AA41" s="60"/>
      <c r="AB41" s="23"/>
      <c r="AC41" s="24"/>
      <c r="AD41" s="1"/>
      <c r="AF41" s="37"/>
      <c r="AG41" s="25">
        <v>1</v>
      </c>
      <c r="AH41" s="26">
        <v>1</v>
      </c>
      <c r="AI41" s="26" t="s">
        <v>200</v>
      </c>
      <c r="AJ41" s="26" t="s">
        <v>200</v>
      </c>
      <c r="AK41" s="27" t="s">
        <v>200</v>
      </c>
    </row>
    <row r="42" spans="1:37" ht="19.5" thickBot="1">
      <c r="G42" s="70">
        <v>18</v>
      </c>
      <c r="H42" s="71" t="s">
        <v>43</v>
      </c>
      <c r="I42" s="29"/>
      <c r="J42" s="2"/>
      <c r="K42" s="81" t="str">
        <f t="shared" si="4"/>
        <v/>
      </c>
      <c r="L42" s="80" t="str">
        <f t="shared" si="5"/>
        <v/>
      </c>
      <c r="M42" s="61"/>
      <c r="N42" s="74"/>
      <c r="O42" s="74"/>
      <c r="P42" s="62"/>
      <c r="Q42" s="57" t="s">
        <v>235</v>
      </c>
      <c r="R42" s="23" t="s">
        <v>235</v>
      </c>
      <c r="S42" s="1" t="s">
        <v>238</v>
      </c>
      <c r="U42" s="40">
        <v>1</v>
      </c>
      <c r="V42" s="61"/>
      <c r="W42" s="74"/>
      <c r="X42" s="448"/>
      <c r="Y42" s="29"/>
      <c r="Z42" s="449"/>
      <c r="AA42" s="62"/>
      <c r="AB42" s="28"/>
      <c r="AC42" s="29"/>
      <c r="AD42" s="2"/>
      <c r="AF42" s="38"/>
      <c r="AG42" s="33">
        <v>1</v>
      </c>
      <c r="AH42" s="34">
        <v>1</v>
      </c>
      <c r="AI42" s="34">
        <v>1</v>
      </c>
      <c r="AJ42" s="34">
        <v>1</v>
      </c>
      <c r="AK42" s="35">
        <v>1</v>
      </c>
    </row>
    <row r="43" spans="1:37" ht="19.5" thickBot="1">
      <c r="C43" s="239" t="str">
        <f>+F38</f>
        <v>(narcotic effects）</v>
      </c>
      <c r="G43" s="75"/>
      <c r="H43" s="22"/>
      <c r="I43" s="22"/>
      <c r="J43" s="22"/>
      <c r="K43" s="22"/>
      <c r="L43" s="68"/>
      <c r="M43" s="21" t="b">
        <f>+OR(M25:M42)</f>
        <v>0</v>
      </c>
      <c r="N43" s="22" t="b">
        <f t="shared" ref="N43:P43" si="11">+OR(N25:N42)</f>
        <v>0</v>
      </c>
      <c r="O43" s="22" t="b">
        <f t="shared" si="11"/>
        <v>0</v>
      </c>
      <c r="P43" s="45" t="b">
        <f t="shared" si="11"/>
        <v>0</v>
      </c>
      <c r="Q43" s="162" t="str">
        <f>Q25&amp;Q26&amp;Q27&amp;Q28&amp;Q29</f>
        <v/>
      </c>
      <c r="R43" s="167" t="str">
        <f>+R32&amp;R34&amp;R35</f>
        <v/>
      </c>
      <c r="S43" s="168" t="str">
        <f>+S26&amp;S27&amp;S28&amp;S29&amp;S33&amp;S36&amp;S37&amp;S38&amp;S39&amp;S40</f>
        <v/>
      </c>
      <c r="U43" s="40"/>
      <c r="V43" s="446">
        <f>IF(COUNTIF(V25:V42,1)&gt;=1, 1, 0)</f>
        <v>0</v>
      </c>
      <c r="W43" s="400">
        <f t="shared" ref="W43:Y43" si="12">IF(COUNTIF(W25:W42,1)&gt;=1, 1, 0)</f>
        <v>0</v>
      </c>
      <c r="X43" s="455">
        <f t="shared" si="12"/>
        <v>0</v>
      </c>
      <c r="Y43" s="456">
        <f t="shared" si="12"/>
        <v>0</v>
      </c>
      <c r="Z43" s="457">
        <f>IF(COUNTIF(Z25:Z42,1)&gt;=1, 1, 0)</f>
        <v>0</v>
      </c>
      <c r="AA43" s="399">
        <f>IF(COUNTIF(AA25:AA42,1)&gt;=1, 1, 0)</f>
        <v>0</v>
      </c>
    </row>
    <row r="44" spans="1:37" ht="20.25" thickBot="1">
      <c r="C44" s="239" t="str">
        <f>+F39</f>
        <v>(Respiratory system)</v>
      </c>
      <c r="G44" s="61"/>
      <c r="H44" s="29"/>
      <c r="I44" s="29"/>
      <c r="J44" s="76" t="s">
        <v>35</v>
      </c>
      <c r="K44" s="77" t="s">
        <v>36</v>
      </c>
      <c r="L44" s="78">
        <f>+MAX(L25:L42)</f>
        <v>0</v>
      </c>
      <c r="M44" s="28">
        <f>IF(M43,1,0)</f>
        <v>0</v>
      </c>
      <c r="N44" s="29">
        <f>IF(N43,1,0)</f>
        <v>0</v>
      </c>
      <c r="O44" s="29">
        <f>IF(O43,1,0)</f>
        <v>0</v>
      </c>
      <c r="P44" s="2">
        <f>IF(P43,1,0)</f>
        <v>0</v>
      </c>
      <c r="Q44" s="44" t="str">
        <f>+Q35</f>
        <v/>
      </c>
      <c r="R44" s="28"/>
      <c r="S44" s="2"/>
      <c r="U44" s="40"/>
      <c r="X44" s="458">
        <f>+IF(OR(Y48,Y49),0,X43)</f>
        <v>0</v>
      </c>
      <c r="Y44" s="459">
        <f>IF(Y49=1,0,Y43)</f>
        <v>0</v>
      </c>
      <c r="Z44" s="460">
        <f>+Z43</f>
        <v>0</v>
      </c>
      <c r="AA44" s="453">
        <f>IF(OR(Y21,AA43),1,0)</f>
        <v>0</v>
      </c>
      <c r="AF44" t="s">
        <v>30</v>
      </c>
    </row>
    <row r="45" spans="1:37" ht="19.5" thickBot="1">
      <c r="C45" s="239" t="str">
        <f>+F40</f>
        <v>(Respiratory system)</v>
      </c>
      <c r="P45" s="22"/>
      <c r="Q45" s="22"/>
      <c r="R45" s="22"/>
      <c r="Y45" s="461">
        <f>IF(COUNTIF(X44:Z44,1)&gt;=1, 1, 0)</f>
        <v>0</v>
      </c>
    </row>
    <row r="46" spans="1:37" ht="19.5" thickBot="1">
      <c r="P46" s="24"/>
      <c r="Q46" s="24"/>
      <c r="R46" s="24"/>
      <c r="Y46" s="462">
        <f>IF(Y50=1,0,Y45)</f>
        <v>0</v>
      </c>
      <c r="AF46" s="21" t="s">
        <v>40</v>
      </c>
      <c r="AG46" s="22"/>
      <c r="AH46" s="45" t="s">
        <v>31</v>
      </c>
      <c r="AI46" s="36" t="s">
        <v>41</v>
      </c>
    </row>
    <row r="47" spans="1:37" ht="19.5" thickBot="1">
      <c r="M47" t="s">
        <v>289</v>
      </c>
      <c r="AF47" s="23" t="s">
        <v>32</v>
      </c>
      <c r="AG47" s="24"/>
      <c r="AH47" s="1" t="s">
        <v>42</v>
      </c>
      <c r="AI47" s="37" t="s">
        <v>41</v>
      </c>
    </row>
    <row r="48" spans="1:37" ht="19.5" thickBot="1">
      <c r="M48" s="58" t="s">
        <v>305</v>
      </c>
      <c r="N48" s="45"/>
      <c r="O48" s="22"/>
      <c r="P48" s="45"/>
      <c r="Q48" s="117" t="s">
        <v>201</v>
      </c>
      <c r="R48" s="117" t="s">
        <v>302</v>
      </c>
      <c r="S48" s="45" t="s">
        <v>282</v>
      </c>
      <c r="T48" s="117" t="s">
        <v>287</v>
      </c>
      <c r="X48" t="s">
        <v>401</v>
      </c>
      <c r="Y48" s="40">
        <f>+IF(AA44=1,1,0)</f>
        <v>0</v>
      </c>
      <c r="AF48" s="23" t="s">
        <v>33</v>
      </c>
      <c r="AG48" s="24"/>
      <c r="AH48" s="1" t="s">
        <v>42</v>
      </c>
      <c r="AI48" s="37" t="s">
        <v>41</v>
      </c>
    </row>
    <row r="49" spans="3:35" ht="19.5" thickBot="1">
      <c r="C49" s="102"/>
      <c r="D49" s="104"/>
      <c r="E49" s="103" t="s">
        <v>290</v>
      </c>
      <c r="H49" s="102"/>
      <c r="I49" s="104"/>
      <c r="J49" s="103" t="s">
        <v>130</v>
      </c>
      <c r="M49" s="61" t="s">
        <v>311</v>
      </c>
      <c r="N49" s="2" t="s">
        <v>206</v>
      </c>
      <c r="O49" s="326" t="s">
        <v>288</v>
      </c>
      <c r="P49" s="323" t="s">
        <v>287</v>
      </c>
      <c r="Q49" s="163" t="s">
        <v>234</v>
      </c>
      <c r="R49" s="163" t="s">
        <v>279</v>
      </c>
      <c r="S49" s="2" t="s">
        <v>285</v>
      </c>
      <c r="T49" s="44" t="s">
        <v>285</v>
      </c>
      <c r="X49" t="s">
        <v>402</v>
      </c>
      <c r="Y49" s="40">
        <f>+IF(W32=1,1,0)</f>
        <v>0</v>
      </c>
      <c r="AF49" s="28" t="s">
        <v>34</v>
      </c>
      <c r="AG49" s="29"/>
      <c r="AH49" s="2" t="s">
        <v>31</v>
      </c>
      <c r="AI49" s="38" t="s">
        <v>41</v>
      </c>
    </row>
    <row r="50" spans="3:35" ht="19.5" thickBot="1">
      <c r="C50" s="321" t="s">
        <v>126</v>
      </c>
      <c r="D50" s="24" t="str">
        <f>+ASC(実施シート!F45)</f>
        <v/>
      </c>
      <c r="E50" s="1" t="e">
        <f>+VLOOKUP(D50,$D$69:$E$98,2,FALSE)</f>
        <v>#N/A</v>
      </c>
      <c r="H50" s="327" t="str">
        <f>+IF(D50="","―",HLOOKUP(E50,法規!$E$7:$K$9,2,FALSE))</f>
        <v>―</v>
      </c>
      <c r="I50" s="328" t="str">
        <f>+IF(D50="","―",HLOOKUP(E50,法規!$E$7:$K$9,3,FALSE))</f>
        <v>―</v>
      </c>
      <c r="J50" s="329">
        <f>+実施シート!H46</f>
        <v>0</v>
      </c>
      <c r="M50" s="321"/>
      <c r="N50" s="1"/>
      <c r="O50" s="24"/>
      <c r="P50" s="1"/>
      <c r="Q50" s="57" t="s">
        <v>235</v>
      </c>
      <c r="R50" s="57"/>
      <c r="S50" s="1"/>
      <c r="T50" s="57"/>
      <c r="X50" t="s">
        <v>400</v>
      </c>
      <c r="Y50" s="40">
        <f>+IF(V43=1,1,0)</f>
        <v>0</v>
      </c>
    </row>
    <row r="51" spans="3:35">
      <c r="C51" s="321" t="s">
        <v>131</v>
      </c>
      <c r="D51" s="24">
        <f>実施シート!F47</f>
        <v>0</v>
      </c>
      <c r="E51" s="1" t="str">
        <f>IF(D51=0,"",D51)</f>
        <v/>
      </c>
      <c r="H51" s="24"/>
      <c r="I51" s="24"/>
      <c r="J51" s="24"/>
      <c r="K51" s="24"/>
      <c r="M51" s="321">
        <f>IF(OR(D51="特定毒物",D51="毒物"),1,0)</f>
        <v>0</v>
      </c>
      <c r="N51" s="1"/>
      <c r="O51" s="24"/>
      <c r="P51" s="1">
        <f>IF(OR(E51=法規!B9,D51=法規!B10,D51=法規!B11), 1, 0)</f>
        <v>0</v>
      </c>
      <c r="Q51" s="57" t="str">
        <f>IF(M51=1,D51&amp;" ","")</f>
        <v/>
      </c>
      <c r="R51" s="57"/>
      <c r="S51" s="1"/>
      <c r="T51" s="57" t="str">
        <f>IF(OR(D51=0,D51="不明",D51="－"),"",D51)</f>
        <v/>
      </c>
      <c r="X51" t="s">
        <v>403</v>
      </c>
      <c r="Y51" s="40"/>
    </row>
    <row r="52" spans="3:35">
      <c r="C52" s="321" t="s">
        <v>132</v>
      </c>
      <c r="D52" s="24" t="str">
        <f>実施シート!F48</f>
        <v>－</v>
      </c>
      <c r="E52" s="1"/>
      <c r="H52" s="24"/>
      <c r="I52" s="24"/>
      <c r="J52" s="24"/>
      <c r="K52" s="24"/>
      <c r="M52" s="321"/>
      <c r="N52" s="1">
        <f>IF(OR(D52=法規!P9,D52=法規!P10), 1, 0)</f>
        <v>0</v>
      </c>
      <c r="O52" s="24"/>
      <c r="P52" s="1"/>
      <c r="Q52" s="57" t="s">
        <v>235</v>
      </c>
      <c r="R52" s="57" t="str">
        <f>IF(N52=1,"Organic solvent"&amp;"("&amp;D52&amp;") ","")</f>
        <v/>
      </c>
      <c r="S52" s="1"/>
      <c r="T52" s="57"/>
    </row>
    <row r="53" spans="3:35">
      <c r="C53" s="321" t="s">
        <v>133</v>
      </c>
      <c r="D53" s="24" t="str">
        <f>実施シート!F49</f>
        <v>－</v>
      </c>
      <c r="E53" s="1"/>
      <c r="H53" s="67"/>
      <c r="I53" s="24"/>
      <c r="J53" s="24"/>
      <c r="K53" s="24"/>
      <c r="M53" s="321">
        <f>IF(OR(D53=法規!O9,HL!D53=法規!O10), 1, 0)</f>
        <v>0</v>
      </c>
      <c r="N53" s="1">
        <f>IF(OR(D53=法規!O9,HL!D53=法規!O10), 1, 0)</f>
        <v>0</v>
      </c>
      <c r="O53" s="24"/>
      <c r="P53" s="1"/>
      <c r="Q53" s="57" t="str">
        <f>IF(M53=1,"Specified chemical"&amp;"("&amp;D53&amp;")  ","")</f>
        <v/>
      </c>
      <c r="R53" s="57" t="str">
        <f>IF(M53=1,"Specified chemical"&amp;"("&amp;D53&amp;")  ","")</f>
        <v/>
      </c>
      <c r="S53" s="1"/>
      <c r="T53" s="57"/>
    </row>
    <row r="54" spans="3:35" ht="19.5" thickBot="1">
      <c r="C54" s="322" t="s">
        <v>284</v>
      </c>
      <c r="D54" s="29">
        <f>+実施シート!F13</f>
        <v>0</v>
      </c>
      <c r="E54" s="2"/>
      <c r="H54" s="24"/>
      <c r="I54" s="24"/>
      <c r="J54" s="24"/>
      <c r="K54" s="24"/>
      <c r="M54" s="28"/>
      <c r="N54" s="2"/>
      <c r="O54" s="29">
        <f>Q5</f>
        <v>0</v>
      </c>
      <c r="P54" s="2"/>
      <c r="Q54" s="44"/>
      <c r="R54" s="44"/>
      <c r="S54" s="2" t="str">
        <f>+IF(O54=1,"火薬類","")</f>
        <v/>
      </c>
      <c r="T54" s="44"/>
    </row>
    <row r="55" spans="3:35" ht="19.5" thickBot="1">
      <c r="M55" s="54">
        <f>IF(COUNTIF(M50:M53,1)&gt;=1, 1, 0)</f>
        <v>0</v>
      </c>
      <c r="N55" s="138">
        <f>IF(COUNTIF(N50:N53,1)&gt;=1, 1, 0)</f>
        <v>0</v>
      </c>
      <c r="O55" s="24"/>
      <c r="P55" s="24"/>
      <c r="Q55" s="117" t="str">
        <f>+Q51</f>
        <v/>
      </c>
      <c r="R55" s="44" t="str">
        <f>+R52&amp;R53</f>
        <v/>
      </c>
      <c r="S55" s="24"/>
    </row>
    <row r="56" spans="3:35" ht="19.5" thickBot="1">
      <c r="D56" t="s">
        <v>68</v>
      </c>
      <c r="O56" s="24"/>
      <c r="P56" s="24"/>
      <c r="Q56" s="44" t="str">
        <f>+Q53</f>
        <v/>
      </c>
    </row>
    <row r="57" spans="3:35" ht="19.5" thickBot="1">
      <c r="D57" s="65" t="s">
        <v>74</v>
      </c>
      <c r="E57" s="66" t="s">
        <v>75</v>
      </c>
      <c r="H57" s="109" t="s">
        <v>221</v>
      </c>
      <c r="I57" s="110"/>
      <c r="J57" s="109" t="s">
        <v>147</v>
      </c>
      <c r="K57" s="110"/>
      <c r="L57" t="s">
        <v>279</v>
      </c>
    </row>
    <row r="58" spans="3:35" ht="19.5" thickBot="1">
      <c r="D58" s="63" t="s">
        <v>69</v>
      </c>
      <c r="E58" s="27">
        <f>+VALUE(1)</f>
        <v>1</v>
      </c>
      <c r="H58" s="105" t="s">
        <v>222</v>
      </c>
      <c r="I58" s="106">
        <f>+V21</f>
        <v>0</v>
      </c>
      <c r="J58" s="105" t="s">
        <v>145</v>
      </c>
      <c r="K58" s="106">
        <f>IF(OR(M44=1,M55=1),1,0)</f>
        <v>0</v>
      </c>
      <c r="L58" s="320" t="str">
        <f>Q56&amp;Q44&amp;" "&amp;Q55&amp;Q43</f>
        <v xml:space="preserve"> </v>
      </c>
    </row>
    <row r="59" spans="3:35">
      <c r="D59" s="63" t="s">
        <v>70</v>
      </c>
      <c r="E59" s="27">
        <f>+VALUE(2)</f>
        <v>2</v>
      </c>
      <c r="H59" s="105" t="s">
        <v>223</v>
      </c>
      <c r="I59" s="106">
        <f>W21</f>
        <v>0</v>
      </c>
      <c r="J59" s="105" t="s">
        <v>146</v>
      </c>
      <c r="K59" s="106">
        <f>P21</f>
        <v>0</v>
      </c>
      <c r="L59" s="320" t="str">
        <f>+T21</f>
        <v/>
      </c>
      <c r="T59" s="117" t="s">
        <v>303</v>
      </c>
    </row>
    <row r="60" spans="3:35" ht="19.5" thickBot="1">
      <c r="D60" s="63" t="s">
        <v>71</v>
      </c>
      <c r="E60" s="27">
        <f>+VALUE(3)</f>
        <v>3</v>
      </c>
      <c r="H60" s="105" t="s">
        <v>232</v>
      </c>
      <c r="I60" s="106">
        <f>X21</f>
        <v>0</v>
      </c>
      <c r="J60" s="394" t="s">
        <v>334</v>
      </c>
      <c r="K60" s="106">
        <f>+R21</f>
        <v>0</v>
      </c>
      <c r="T60" s="44" t="s">
        <v>304</v>
      </c>
    </row>
    <row r="61" spans="3:35">
      <c r="D61" s="63" t="s">
        <v>72</v>
      </c>
      <c r="E61" s="27">
        <f>+VALUE(4)</f>
        <v>4</v>
      </c>
      <c r="G61" s="24"/>
      <c r="H61" s="105" t="s">
        <v>225</v>
      </c>
      <c r="I61" s="106">
        <f>+AA44</f>
        <v>0</v>
      </c>
      <c r="J61" s="105" t="s">
        <v>134</v>
      </c>
      <c r="K61" s="106">
        <f>O44</f>
        <v>0</v>
      </c>
      <c r="S61" t="s">
        <v>305</v>
      </c>
      <c r="T61" s="57">
        <f>+K58</f>
        <v>0</v>
      </c>
    </row>
    <row r="62" spans="3:35">
      <c r="D62" s="63" t="s">
        <v>73</v>
      </c>
      <c r="E62" s="27">
        <f>+VALUE(5)</f>
        <v>5</v>
      </c>
      <c r="G62" s="24"/>
      <c r="H62" s="105" t="s">
        <v>227</v>
      </c>
      <c r="I62" s="106">
        <f>+V43</f>
        <v>0</v>
      </c>
      <c r="J62" s="105" t="s">
        <v>135</v>
      </c>
      <c r="K62" s="106">
        <f>N44</f>
        <v>0</v>
      </c>
      <c r="S62" t="s">
        <v>306</v>
      </c>
      <c r="T62" s="57">
        <f>+K67</f>
        <v>0</v>
      </c>
    </row>
    <row r="63" spans="3:35">
      <c r="D63" s="63" t="s">
        <v>62</v>
      </c>
      <c r="E63" s="27">
        <v>1</v>
      </c>
      <c r="G63" s="24"/>
      <c r="H63" s="105" t="s">
        <v>228</v>
      </c>
      <c r="I63" s="106">
        <f>+W43</f>
        <v>0</v>
      </c>
      <c r="J63" s="105" t="s">
        <v>136</v>
      </c>
      <c r="K63" s="106">
        <f>L44</f>
        <v>0</v>
      </c>
      <c r="S63" t="s">
        <v>309</v>
      </c>
      <c r="T63" s="57">
        <f>+IF(K78&gt;3,1,0)</f>
        <v>0</v>
      </c>
    </row>
    <row r="64" spans="3:35" ht="19.5" thickBot="1">
      <c r="D64" s="63" t="s">
        <v>65</v>
      </c>
      <c r="E64" s="27">
        <v>1</v>
      </c>
      <c r="G64" s="24"/>
      <c r="H64" s="105" t="s">
        <v>229</v>
      </c>
      <c r="I64" s="106">
        <f>+Y46</f>
        <v>0</v>
      </c>
      <c r="J64" s="107" t="s">
        <v>148</v>
      </c>
      <c r="K64" s="108">
        <f>P44</f>
        <v>0</v>
      </c>
      <c r="T64" s="57"/>
    </row>
    <row r="65" spans="4:20" ht="19.5" thickBot="1">
      <c r="D65" s="63" t="s">
        <v>66</v>
      </c>
      <c r="E65" s="27">
        <f t="shared" ref="E65:E66" si="13">+VALUE(2)</f>
        <v>2</v>
      </c>
      <c r="G65" s="24"/>
      <c r="H65" s="105"/>
      <c r="I65" s="106"/>
      <c r="J65" s="141"/>
      <c r="K65" s="142"/>
      <c r="T65" s="44"/>
    </row>
    <row r="66" spans="4:20" ht="19.5" thickBot="1">
      <c r="D66" s="64" t="s">
        <v>67</v>
      </c>
      <c r="E66" s="35">
        <f t="shared" si="13"/>
        <v>2</v>
      </c>
      <c r="H66" s="105"/>
      <c r="I66" s="106"/>
      <c r="J66" s="105" t="s">
        <v>283</v>
      </c>
      <c r="K66" s="106">
        <f>+Q21</f>
        <v>0</v>
      </c>
      <c r="L66" s="320" t="str">
        <f>S54</f>
        <v/>
      </c>
      <c r="T66" s="44">
        <f>IF(COUNTIF(T61:T64,1)&gt;=1, 1, 0)</f>
        <v>0</v>
      </c>
    </row>
    <row r="67" spans="4:20" ht="19.5" thickBot="1">
      <c r="D67" s="139"/>
      <c r="E67" s="133"/>
      <c r="H67" s="107"/>
      <c r="I67" s="108"/>
      <c r="J67" s="107" t="s">
        <v>206</v>
      </c>
      <c r="K67" s="108">
        <f>+N55</f>
        <v>0</v>
      </c>
      <c r="L67" s="320" t="str">
        <f>+R55</f>
        <v/>
      </c>
    </row>
    <row r="68" spans="4:20" ht="19.5" thickBot="1">
      <c r="D68" t="s">
        <v>87</v>
      </c>
    </row>
    <row r="69" spans="4:20">
      <c r="D69" s="83" t="s">
        <v>69</v>
      </c>
      <c r="E69" s="45">
        <v>1</v>
      </c>
      <c r="J69" s="140" t="s">
        <v>242</v>
      </c>
      <c r="L69" s="320" t="str">
        <f>+R43</f>
        <v/>
      </c>
    </row>
    <row r="70" spans="4:20">
      <c r="D70" s="84" t="s">
        <v>70</v>
      </c>
      <c r="E70" s="1">
        <v>2</v>
      </c>
      <c r="J70" s="140" t="s">
        <v>243</v>
      </c>
      <c r="L70" s="320" t="str">
        <f>+S43</f>
        <v/>
      </c>
    </row>
    <row r="71" spans="4:20">
      <c r="D71" s="84" t="s">
        <v>71</v>
      </c>
      <c r="E71" s="1">
        <v>3</v>
      </c>
    </row>
    <row r="72" spans="4:20">
      <c r="D72" s="84" t="s">
        <v>72</v>
      </c>
      <c r="E72" s="1">
        <v>4</v>
      </c>
      <c r="J72" s="140" t="s">
        <v>645</v>
      </c>
      <c r="K72">
        <f>P51</f>
        <v>0</v>
      </c>
      <c r="L72" s="320" t="str">
        <f>T51</f>
        <v/>
      </c>
    </row>
    <row r="73" spans="4:20">
      <c r="D73" s="84" t="s">
        <v>73</v>
      </c>
      <c r="E73" s="1">
        <v>5</v>
      </c>
    </row>
    <row r="74" spans="4:20">
      <c r="D74" s="84" t="s">
        <v>88</v>
      </c>
      <c r="E74" s="1">
        <v>6</v>
      </c>
      <c r="J74" s="140" t="s">
        <v>623</v>
      </c>
      <c r="K74">
        <f>+S21</f>
        <v>0</v>
      </c>
      <c r="L74" s="320" t="s">
        <v>624</v>
      </c>
    </row>
    <row r="75" spans="4:20">
      <c r="D75" s="84" t="s">
        <v>89</v>
      </c>
      <c r="E75" s="1">
        <v>7</v>
      </c>
    </row>
    <row r="76" spans="4:20">
      <c r="D76" s="84" t="s">
        <v>90</v>
      </c>
      <c r="E76" s="1">
        <v>8</v>
      </c>
      <c r="I76" t="s">
        <v>301</v>
      </c>
      <c r="J76" s="387" t="s">
        <v>625</v>
      </c>
      <c r="K76">
        <f>+T66</f>
        <v>0</v>
      </c>
    </row>
    <row r="77" spans="4:20">
      <c r="D77" s="84" t="s">
        <v>91</v>
      </c>
      <c r="E77" s="1">
        <v>9</v>
      </c>
    </row>
    <row r="78" spans="4:20">
      <c r="D78" s="85" t="s">
        <v>101</v>
      </c>
      <c r="E78" s="86">
        <v>0</v>
      </c>
      <c r="J78" s="389" t="s">
        <v>308</v>
      </c>
      <c r="K78">
        <f>+RL!D18</f>
        <v>0</v>
      </c>
    </row>
    <row r="79" spans="4:20">
      <c r="D79" s="84" t="s">
        <v>92</v>
      </c>
      <c r="E79" s="1">
        <v>1</v>
      </c>
    </row>
    <row r="80" spans="4:20">
      <c r="D80" s="84" t="s">
        <v>93</v>
      </c>
      <c r="E80" s="1">
        <v>2</v>
      </c>
    </row>
    <row r="81" spans="4:15">
      <c r="D81" s="84" t="s">
        <v>94</v>
      </c>
      <c r="E81" s="1">
        <v>3</v>
      </c>
    </row>
    <row r="82" spans="4:15">
      <c r="D82" s="84" t="s">
        <v>85</v>
      </c>
      <c r="E82" s="1">
        <v>4</v>
      </c>
    </row>
    <row r="83" spans="4:15">
      <c r="D83" s="84" t="s">
        <v>95</v>
      </c>
      <c r="E83" s="1">
        <v>5</v>
      </c>
    </row>
    <row r="84" spans="4:15">
      <c r="D84" s="84" t="s">
        <v>96</v>
      </c>
      <c r="E84" s="1">
        <v>6</v>
      </c>
      <c r="I84" s="143" t="s">
        <v>404</v>
      </c>
      <c r="J84" s="143" t="s">
        <v>405</v>
      </c>
      <c r="K84" s="143"/>
      <c r="L84" s="143"/>
      <c r="M84" s="143"/>
      <c r="N84" s="143"/>
      <c r="O84" s="143"/>
    </row>
    <row r="85" spans="4:15">
      <c r="D85" s="84" t="s">
        <v>97</v>
      </c>
      <c r="E85" s="1">
        <v>7</v>
      </c>
    </row>
    <row r="86" spans="4:15">
      <c r="D86" s="84" t="s">
        <v>98</v>
      </c>
      <c r="E86" s="1">
        <v>8</v>
      </c>
    </row>
    <row r="87" spans="4:15">
      <c r="D87" s="84" t="s">
        <v>99</v>
      </c>
      <c r="E87" s="1">
        <v>9</v>
      </c>
    </row>
    <row r="88" spans="4:15">
      <c r="D88" s="85" t="s">
        <v>100</v>
      </c>
      <c r="E88" s="86">
        <v>0</v>
      </c>
    </row>
    <row r="89" spans="4:15">
      <c r="D89" s="84" t="s">
        <v>102</v>
      </c>
      <c r="E89" s="1">
        <v>1</v>
      </c>
    </row>
    <row r="90" spans="4:15">
      <c r="D90" s="84" t="s">
        <v>103</v>
      </c>
      <c r="E90" s="1">
        <v>2</v>
      </c>
    </row>
    <row r="91" spans="4:15">
      <c r="D91" s="84" t="s">
        <v>104</v>
      </c>
      <c r="E91" s="1">
        <v>3</v>
      </c>
    </row>
    <row r="92" spans="4:15">
      <c r="D92" s="84" t="s">
        <v>86</v>
      </c>
      <c r="E92" s="1">
        <v>4</v>
      </c>
    </row>
    <row r="93" spans="4:15">
      <c r="D93" s="84" t="s">
        <v>105</v>
      </c>
      <c r="E93" s="1">
        <v>5</v>
      </c>
    </row>
    <row r="94" spans="4:15">
      <c r="D94" s="84" t="s">
        <v>106</v>
      </c>
      <c r="E94" s="1">
        <v>6</v>
      </c>
    </row>
    <row r="95" spans="4:15">
      <c r="D95" s="84" t="s">
        <v>107</v>
      </c>
      <c r="E95" s="1">
        <v>7</v>
      </c>
    </row>
    <row r="96" spans="4:15">
      <c r="D96" s="84" t="s">
        <v>108</v>
      </c>
      <c r="E96" s="1">
        <v>8</v>
      </c>
    </row>
    <row r="97" spans="4:5">
      <c r="D97" s="84" t="s">
        <v>109</v>
      </c>
      <c r="E97" s="1">
        <v>9</v>
      </c>
    </row>
    <row r="98" spans="4:5" ht="19.5" thickBot="1">
      <c r="D98" s="28"/>
      <c r="E98" s="2"/>
    </row>
  </sheetData>
  <sheetProtection selectLockedCells="1" selectUnlockedCells="1"/>
  <mergeCells count="2">
    <mergeCell ref="H6:J9"/>
    <mergeCell ref="K6:K9"/>
  </mergeCells>
  <phoneticPr fontId="6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X72"/>
  <sheetViews>
    <sheetView workbookViewId="0">
      <selection activeCell="E9" sqref="E9:M9"/>
    </sheetView>
  </sheetViews>
  <sheetFormatPr defaultColWidth="8.875" defaultRowHeight="18.75"/>
  <sheetData>
    <row r="2" spans="2:18" ht="19.5" thickBot="1"/>
    <row r="3" spans="2:18">
      <c r="B3" s="117"/>
      <c r="C3" s="68" t="s">
        <v>180</v>
      </c>
      <c r="D3" s="68" t="s">
        <v>181</v>
      </c>
      <c r="E3" s="72" t="s">
        <v>341</v>
      </c>
      <c r="F3" s="122" t="s">
        <v>332</v>
      </c>
      <c r="G3" s="45" t="s">
        <v>189</v>
      </c>
      <c r="H3" s="117" t="s">
        <v>249</v>
      </c>
      <c r="J3" s="10" t="s">
        <v>188</v>
      </c>
      <c r="K3" s="14">
        <v>7</v>
      </c>
      <c r="L3" s="14">
        <v>6</v>
      </c>
      <c r="M3" s="14">
        <v>5</v>
      </c>
      <c r="N3" s="14">
        <v>4</v>
      </c>
      <c r="O3" s="14">
        <v>3</v>
      </c>
      <c r="P3" s="13">
        <v>2</v>
      </c>
    </row>
    <row r="4" spans="2:18" ht="19.5" thickBot="1">
      <c r="B4" s="44"/>
      <c r="C4" s="74"/>
      <c r="D4" s="74"/>
      <c r="E4" s="81"/>
      <c r="F4" s="123"/>
      <c r="G4" s="2" t="s">
        <v>191</v>
      </c>
      <c r="H4" s="44" t="s">
        <v>250</v>
      </c>
      <c r="J4" s="11" t="s">
        <v>182</v>
      </c>
      <c r="K4" s="115" t="s">
        <v>183</v>
      </c>
      <c r="L4" s="115" t="s">
        <v>183</v>
      </c>
      <c r="M4" s="115" t="s">
        <v>184</v>
      </c>
      <c r="N4" s="115" t="s">
        <v>185</v>
      </c>
      <c r="O4" s="115" t="s">
        <v>186</v>
      </c>
      <c r="P4" s="16" t="s">
        <v>187</v>
      </c>
    </row>
    <row r="5" spans="2:18">
      <c r="B5" s="118" t="s">
        <v>136</v>
      </c>
      <c r="C5" s="87">
        <f>+実施シート!F51</f>
        <v>0</v>
      </c>
      <c r="D5" s="87">
        <f>+VLOOKUP(ASC(C5),$B$23:$C$72,2,FALSE)</f>
        <v>0</v>
      </c>
      <c r="E5" s="46">
        <f>D5</f>
        <v>0</v>
      </c>
      <c r="F5" s="124">
        <f>E5</f>
        <v>0</v>
      </c>
      <c r="G5" s="60"/>
      <c r="H5" s="57"/>
    </row>
    <row r="6" spans="2:18">
      <c r="B6" s="57"/>
      <c r="C6" s="87"/>
      <c r="D6" s="87"/>
      <c r="E6" s="46"/>
      <c r="F6" s="124"/>
      <c r="G6" s="60"/>
      <c r="H6" s="57"/>
    </row>
    <row r="7" spans="2:18">
      <c r="B7" s="118" t="s">
        <v>137</v>
      </c>
      <c r="C7" s="87">
        <f>+実施シート!F53</f>
        <v>0</v>
      </c>
      <c r="D7" s="87">
        <f>+VLOOKUP(ASC(C7),$B$23:$C$72,2,FALSE)</f>
        <v>0</v>
      </c>
      <c r="E7" s="46">
        <f>D7</f>
        <v>0</v>
      </c>
      <c r="F7" s="124">
        <f>IF(OR(E7&lt;1,E7&gt;6),999,IF(OR(E7=4,E7=5,E7=6),1,E7))</f>
        <v>999</v>
      </c>
      <c r="G7" s="60"/>
      <c r="H7" s="57">
        <f>IF(OR(E7=0,E7=1,E7=4,E7=5,E7=6),0,1)</f>
        <v>0</v>
      </c>
    </row>
    <row r="8" spans="2:18">
      <c r="B8" s="119" t="s">
        <v>138</v>
      </c>
      <c r="C8" s="87">
        <f>+実施シート!F55</f>
        <v>0</v>
      </c>
      <c r="D8" s="87">
        <f>+VLOOKUP(ASC(C8),$B$23:$C$72,2,FALSE)</f>
        <v>0</v>
      </c>
      <c r="E8" s="46">
        <f>D8</f>
        <v>0</v>
      </c>
      <c r="F8" s="124">
        <f>IF(OR(E8&lt;1,E8&gt;3),999,E8)</f>
        <v>999</v>
      </c>
      <c r="G8" s="60"/>
      <c r="H8" s="57"/>
    </row>
    <row r="9" spans="2:18">
      <c r="B9" s="120" t="s">
        <v>139</v>
      </c>
      <c r="C9" s="87">
        <f>+実施シート!F58</f>
        <v>0</v>
      </c>
      <c r="D9" s="87">
        <f>+VLOOKUP(ASC(C9),$B$23:$C$72,2,FALSE)</f>
        <v>0</v>
      </c>
      <c r="E9" s="46">
        <f>D9</f>
        <v>0</v>
      </c>
      <c r="F9" s="124">
        <f>IF(OR(E9&lt;0,E9&gt;1),999,E9)</f>
        <v>0</v>
      </c>
      <c r="G9" s="60"/>
      <c r="H9" s="57">
        <f>IF(F9=0,0,1)</f>
        <v>0</v>
      </c>
      <c r="J9" t="s">
        <v>20</v>
      </c>
    </row>
    <row r="10" spans="2:18">
      <c r="B10" s="118" t="s">
        <v>141</v>
      </c>
      <c r="C10" s="87"/>
      <c r="D10" s="87"/>
      <c r="F10" s="124">
        <f>+F7+F8+F9</f>
        <v>1998</v>
      </c>
      <c r="G10" s="60"/>
      <c r="H10" s="57"/>
      <c r="J10" t="s">
        <v>190</v>
      </c>
    </row>
    <row r="11" spans="2:18">
      <c r="B11" s="57"/>
      <c r="C11" s="87"/>
      <c r="D11" s="87"/>
      <c r="F11" s="124"/>
      <c r="G11" s="60"/>
      <c r="H11" s="57"/>
      <c r="J11" s="12"/>
      <c r="K11" s="14"/>
      <c r="L11" s="13"/>
      <c r="M11" s="12" t="s">
        <v>182</v>
      </c>
      <c r="N11" s="14"/>
      <c r="O11" s="14"/>
      <c r="P11" s="14"/>
      <c r="Q11" s="13"/>
    </row>
    <row r="12" spans="2:18">
      <c r="B12" s="120" t="s">
        <v>140</v>
      </c>
      <c r="C12" s="87"/>
      <c r="D12" s="87"/>
      <c r="F12" s="124" t="e">
        <f>+HLOOKUP(F10,K3:P4,2,FALSE)</f>
        <v>#N/A</v>
      </c>
      <c r="G12" s="60" t="e">
        <f>HLOOKUP(F12,M12:Q13,2,FALSE)</f>
        <v>#N/A</v>
      </c>
      <c r="H12" s="57"/>
      <c r="J12" s="19"/>
      <c r="K12" s="87"/>
      <c r="L12" s="92"/>
      <c r="M12" s="26" t="s">
        <v>2</v>
      </c>
      <c r="N12" s="26" t="s">
        <v>3</v>
      </c>
      <c r="O12" s="26" t="s">
        <v>4</v>
      </c>
      <c r="P12" s="26" t="s">
        <v>5</v>
      </c>
      <c r="Q12" s="26" t="s">
        <v>6</v>
      </c>
    </row>
    <row r="13" spans="2:18">
      <c r="B13" s="118" t="s">
        <v>142</v>
      </c>
      <c r="C13" s="87">
        <f>実施シート!F60</f>
        <v>0</v>
      </c>
      <c r="D13" s="87">
        <f>+VLOOKUP(ASC(C13),$B$23:$C$72,2,FALSE)</f>
        <v>0</v>
      </c>
      <c r="F13" s="124">
        <f>D13</f>
        <v>0</v>
      </c>
      <c r="G13" s="60"/>
      <c r="H13" s="57">
        <f>IF(F13=1,0,1)</f>
        <v>1</v>
      </c>
      <c r="J13" s="15"/>
      <c r="K13" s="115"/>
      <c r="L13" s="16"/>
      <c r="M13" s="116">
        <v>1</v>
      </c>
      <c r="N13" s="116">
        <v>2</v>
      </c>
      <c r="O13" s="116">
        <v>3</v>
      </c>
      <c r="P13" s="116">
        <v>4</v>
      </c>
      <c r="Q13" s="116">
        <v>5</v>
      </c>
      <c r="R13" s="392" t="s">
        <v>189</v>
      </c>
    </row>
    <row r="14" spans="2:18">
      <c r="B14" s="118" t="s">
        <v>143</v>
      </c>
      <c r="C14" s="87"/>
      <c r="D14" s="87"/>
      <c r="F14" s="124" t="e">
        <f>VLOOKUP(F13,L14:Q18,G12+1,FALSE)</f>
        <v>#N/A</v>
      </c>
      <c r="G14" s="60" t="e">
        <f>HLOOKUP(F14,L24:P25,2,FALSE)</f>
        <v>#N/A</v>
      </c>
      <c r="H14" s="57"/>
      <c r="J14" s="12" t="s">
        <v>1</v>
      </c>
      <c r="K14" s="98" t="s">
        <v>7</v>
      </c>
      <c r="L14" s="17">
        <v>5</v>
      </c>
      <c r="M14" s="18">
        <v>5</v>
      </c>
      <c r="N14" s="18">
        <v>4</v>
      </c>
      <c r="O14" s="18">
        <v>3</v>
      </c>
      <c r="P14" s="18">
        <v>2</v>
      </c>
      <c r="Q14" s="18">
        <v>2</v>
      </c>
    </row>
    <row r="15" spans="2:18">
      <c r="B15" s="118" t="s">
        <v>144</v>
      </c>
      <c r="D15" t="e">
        <f>+VLOOKUP(ASC(F15),$B$23:$C$72,2,FALSE)</f>
        <v>#N/A</v>
      </c>
      <c r="F15" s="124" t="e">
        <f>VLOOKUP(E5,K26:P30,G14+1,FALSE)</f>
        <v>#N/A</v>
      </c>
      <c r="G15" s="60"/>
      <c r="H15" s="57"/>
      <c r="J15" s="19"/>
      <c r="K15" s="98" t="s">
        <v>8</v>
      </c>
      <c r="L15" s="17">
        <v>4</v>
      </c>
      <c r="M15" s="18">
        <v>5</v>
      </c>
      <c r="N15" s="18">
        <v>4</v>
      </c>
      <c r="O15" s="18">
        <v>3</v>
      </c>
      <c r="P15" s="18">
        <v>2</v>
      </c>
      <c r="Q15" s="18">
        <v>2</v>
      </c>
    </row>
    <row r="16" spans="2:18" ht="19.5" thickBot="1">
      <c r="B16" s="121"/>
      <c r="C16" s="74"/>
      <c r="D16" s="74"/>
      <c r="E16" s="81"/>
      <c r="F16" s="81"/>
      <c r="G16" s="62"/>
      <c r="H16" s="44"/>
      <c r="J16" s="19"/>
      <c r="K16" s="98" t="s">
        <v>9</v>
      </c>
      <c r="L16" s="17">
        <v>3</v>
      </c>
      <c r="M16" s="18">
        <v>5</v>
      </c>
      <c r="N16" s="18">
        <v>3</v>
      </c>
      <c r="O16" s="18">
        <v>3</v>
      </c>
      <c r="P16" s="18">
        <v>2</v>
      </c>
      <c r="Q16" s="18">
        <v>2</v>
      </c>
    </row>
    <row r="17" spans="2:24" ht="19.5" thickBot="1">
      <c r="H17" s="56">
        <f>IF(COUNTIF(H5:H16,1)&gt;=1, 1, 0)</f>
        <v>1</v>
      </c>
      <c r="J17" s="19"/>
      <c r="K17" s="98" t="s">
        <v>10</v>
      </c>
      <c r="L17" s="17">
        <v>2</v>
      </c>
      <c r="M17" s="18">
        <v>4</v>
      </c>
      <c r="N17" s="18">
        <v>3</v>
      </c>
      <c r="O17" s="18">
        <v>2</v>
      </c>
      <c r="P17" s="18">
        <v>2</v>
      </c>
      <c r="Q17" s="18">
        <v>1</v>
      </c>
    </row>
    <row r="18" spans="2:24">
      <c r="B18" s="20"/>
      <c r="C18" s="426" t="s">
        <v>394</v>
      </c>
      <c r="D18" s="427">
        <f>IF(F5=0,0,D15)</f>
        <v>0</v>
      </c>
      <c r="J18" s="15"/>
      <c r="K18" s="98" t="s">
        <v>11</v>
      </c>
      <c r="L18" s="17">
        <v>1</v>
      </c>
      <c r="M18" s="18">
        <v>3</v>
      </c>
      <c r="N18" s="18">
        <v>2</v>
      </c>
      <c r="O18" s="18">
        <v>2</v>
      </c>
      <c r="P18" s="18">
        <v>1</v>
      </c>
      <c r="Q18" s="18">
        <v>1</v>
      </c>
    </row>
    <row r="21" spans="2:24">
      <c r="J21" t="s">
        <v>19</v>
      </c>
    </row>
    <row r="22" spans="2:24" ht="19.5" thickBot="1">
      <c r="B22" t="s">
        <v>87</v>
      </c>
    </row>
    <row r="23" spans="2:24">
      <c r="B23" s="83" t="s">
        <v>69</v>
      </c>
      <c r="C23" s="45">
        <v>1</v>
      </c>
      <c r="J23" s="12"/>
      <c r="K23" s="13"/>
      <c r="L23" s="12" t="s">
        <v>12</v>
      </c>
      <c r="M23" s="14"/>
      <c r="N23" s="14"/>
      <c r="O23" s="14"/>
      <c r="P23" s="13"/>
    </row>
    <row r="24" spans="2:24">
      <c r="B24" s="84" t="s">
        <v>70</v>
      </c>
      <c r="C24" s="1">
        <v>2</v>
      </c>
      <c r="J24" s="19"/>
      <c r="K24" s="92"/>
      <c r="L24" s="26">
        <v>5</v>
      </c>
      <c r="M24" s="26">
        <v>4</v>
      </c>
      <c r="N24" s="26">
        <v>3</v>
      </c>
      <c r="O24" s="26">
        <v>2</v>
      </c>
      <c r="P24" s="26">
        <v>1</v>
      </c>
    </row>
    <row r="25" spans="2:24">
      <c r="B25" s="84" t="s">
        <v>71</v>
      </c>
      <c r="C25" s="1">
        <v>3</v>
      </c>
      <c r="J25" s="15"/>
      <c r="K25" s="16"/>
      <c r="L25" s="116">
        <v>1</v>
      </c>
      <c r="M25" s="116">
        <v>2</v>
      </c>
      <c r="N25" s="116">
        <v>3</v>
      </c>
      <c r="O25" s="116">
        <v>4</v>
      </c>
      <c r="P25" s="116">
        <v>5</v>
      </c>
      <c r="Q25" s="392" t="s">
        <v>189</v>
      </c>
    </row>
    <row r="26" spans="2:24">
      <c r="B26" s="84" t="s">
        <v>72</v>
      </c>
      <c r="C26" s="1">
        <v>4</v>
      </c>
      <c r="J26" s="12" t="s">
        <v>13</v>
      </c>
      <c r="K26" s="17">
        <v>5</v>
      </c>
      <c r="L26" s="18" t="s">
        <v>14</v>
      </c>
      <c r="M26" s="18" t="s">
        <v>14</v>
      </c>
      <c r="N26" s="18" t="s">
        <v>15</v>
      </c>
      <c r="O26" s="18" t="s">
        <v>15</v>
      </c>
      <c r="P26" s="18" t="s">
        <v>16</v>
      </c>
    </row>
    <row r="27" spans="2:24">
      <c r="B27" s="84" t="s">
        <v>73</v>
      </c>
      <c r="C27" s="1">
        <v>5</v>
      </c>
      <c r="J27" s="19"/>
      <c r="K27" s="17">
        <v>4</v>
      </c>
      <c r="L27" s="18" t="s">
        <v>14</v>
      </c>
      <c r="M27" s="18" t="s">
        <v>15</v>
      </c>
      <c r="N27" s="18" t="s">
        <v>15</v>
      </c>
      <c r="O27" s="18" t="s">
        <v>16</v>
      </c>
      <c r="P27" s="18" t="s">
        <v>16</v>
      </c>
    </row>
    <row r="28" spans="2:24">
      <c r="B28" s="84" t="s">
        <v>88</v>
      </c>
      <c r="C28" s="1">
        <v>6</v>
      </c>
      <c r="J28" s="19"/>
      <c r="K28" s="17">
        <v>3</v>
      </c>
      <c r="L28" s="18" t="s">
        <v>15</v>
      </c>
      <c r="M28" s="18" t="s">
        <v>15</v>
      </c>
      <c r="N28" s="18" t="s">
        <v>16</v>
      </c>
      <c r="O28" s="18" t="s">
        <v>17</v>
      </c>
      <c r="P28" s="18" t="s">
        <v>17</v>
      </c>
    </row>
    <row r="29" spans="2:24">
      <c r="B29" s="84" t="s">
        <v>89</v>
      </c>
      <c r="C29" s="1">
        <v>7</v>
      </c>
      <c r="J29" s="19"/>
      <c r="K29" s="17">
        <v>2</v>
      </c>
      <c r="L29" s="18" t="s">
        <v>15</v>
      </c>
      <c r="M29" s="18" t="s">
        <v>16</v>
      </c>
      <c r="N29" s="18" t="s">
        <v>16</v>
      </c>
      <c r="O29" s="18" t="s">
        <v>17</v>
      </c>
      <c r="P29" s="18" t="s">
        <v>17</v>
      </c>
    </row>
    <row r="30" spans="2:24">
      <c r="B30" s="84" t="s">
        <v>90</v>
      </c>
      <c r="C30" s="1">
        <v>8</v>
      </c>
      <c r="J30" s="15"/>
      <c r="K30" s="17">
        <v>1</v>
      </c>
      <c r="L30" s="18" t="s">
        <v>15</v>
      </c>
      <c r="M30" s="18" t="s">
        <v>16</v>
      </c>
      <c r="N30" s="18" t="s">
        <v>16</v>
      </c>
      <c r="O30" s="18" t="s">
        <v>17</v>
      </c>
      <c r="P30" s="18" t="s">
        <v>18</v>
      </c>
    </row>
    <row r="31" spans="2:24">
      <c r="B31" s="84" t="s">
        <v>91</v>
      </c>
      <c r="C31" s="1">
        <v>9</v>
      </c>
    </row>
    <row r="32" spans="2:24">
      <c r="B32" s="85" t="s">
        <v>101</v>
      </c>
      <c r="C32" s="86">
        <v>0</v>
      </c>
      <c r="W32" s="12">
        <v>3</v>
      </c>
      <c r="X32" s="393" t="s">
        <v>315</v>
      </c>
    </row>
    <row r="33" spans="2:24">
      <c r="B33" s="84" t="s">
        <v>149</v>
      </c>
      <c r="C33" s="1">
        <v>1</v>
      </c>
      <c r="J33" s="366" t="s">
        <v>333</v>
      </c>
      <c r="W33" s="19">
        <v>2</v>
      </c>
      <c r="X33" s="8" t="s">
        <v>313</v>
      </c>
    </row>
    <row r="34" spans="2:24">
      <c r="B34" s="84" t="s">
        <v>150</v>
      </c>
      <c r="C34" s="1">
        <v>2</v>
      </c>
      <c r="J34" s="366" t="s">
        <v>295</v>
      </c>
      <c r="L34" s="46"/>
      <c r="Q34" t="str">
        <f>+実施シート!C53</f>
        <v>Working environment</v>
      </c>
      <c r="W34" s="19">
        <v>1</v>
      </c>
      <c r="X34" s="8" t="s">
        <v>314</v>
      </c>
    </row>
    <row r="35" spans="2:24">
      <c r="B35" s="84" t="s">
        <v>151</v>
      </c>
      <c r="C35" s="1">
        <v>3</v>
      </c>
      <c r="Q35" t="str">
        <f>+実施シート!C54</f>
        <v xml:space="preserve"> A. Daily usage</v>
      </c>
      <c r="W35" s="19">
        <v>6</v>
      </c>
      <c r="X35" s="8" t="s">
        <v>316</v>
      </c>
    </row>
    <row r="36" spans="2:24">
      <c r="B36" s="84" t="s">
        <v>152</v>
      </c>
      <c r="C36" s="1">
        <v>4</v>
      </c>
      <c r="Q36" t="str">
        <f>+実施シート!H53</f>
        <v xml:space="preserve">1 : less than 1 kg(L) ,   2 : more than 1 kg(L) ,   3 :more than  1 ton(kL) </v>
      </c>
      <c r="W36" s="19">
        <v>5</v>
      </c>
      <c r="X36" s="8" t="s">
        <v>317</v>
      </c>
    </row>
    <row r="37" spans="2:24">
      <c r="B37" s="84" t="s">
        <v>153</v>
      </c>
      <c r="C37" s="1">
        <v>5</v>
      </c>
      <c r="J37" s="233" t="s">
        <v>252</v>
      </c>
      <c r="K37">
        <f>E7</f>
        <v>0</v>
      </c>
      <c r="Q37" t="str">
        <f>+実施シート!H54</f>
        <v>( 4 : less than 1 g(mL) ,   5 : less than 10 g(mL) ,   6 : less than 100 g(mL)   )</v>
      </c>
      <c r="W37" s="15">
        <v>4</v>
      </c>
      <c r="X37" s="6" t="s">
        <v>318</v>
      </c>
    </row>
    <row r="38" spans="2:24" ht="19.5" thickBot="1">
      <c r="B38" s="84" t="s">
        <v>154</v>
      </c>
      <c r="C38" s="1">
        <v>6</v>
      </c>
    </row>
    <row r="39" spans="2:24" ht="19.5" thickBot="1">
      <c r="B39" s="84" t="s">
        <v>155</v>
      </c>
      <c r="C39" s="1">
        <v>7</v>
      </c>
      <c r="J39" s="54"/>
      <c r="K39" s="138"/>
      <c r="L39" s="54" t="s">
        <v>699</v>
      </c>
      <c r="M39" s="55" t="s">
        <v>700</v>
      </c>
      <c r="N39" s="138" t="s">
        <v>701</v>
      </c>
      <c r="Q39" s="54" t="s">
        <v>699</v>
      </c>
      <c r="R39" s="55" t="s">
        <v>700</v>
      </c>
      <c r="S39" s="138" t="s">
        <v>701</v>
      </c>
      <c r="T39" s="54" t="s">
        <v>699</v>
      </c>
      <c r="U39" s="55" t="s">
        <v>700</v>
      </c>
      <c r="V39" s="138" t="s">
        <v>701</v>
      </c>
    </row>
    <row r="40" spans="2:24">
      <c r="B40" s="84" t="s">
        <v>156</v>
      </c>
      <c r="C40" s="1">
        <v>8</v>
      </c>
      <c r="J40" s="105" t="s">
        <v>60</v>
      </c>
      <c r="K40" s="106">
        <f>HL!K58</f>
        <v>0</v>
      </c>
      <c r="L40" s="23">
        <f>IF(AND(K40=1,OR(K37=1,K37=2,K37=3,K37=6)),1,0)</f>
        <v>0</v>
      </c>
      <c r="M40" s="24">
        <f>IF(AND(K40=1,K37=5),1,0)</f>
        <v>0</v>
      </c>
      <c r="N40" s="1">
        <f>IF(AND(K40=1,K37=4),1,0)</f>
        <v>0</v>
      </c>
      <c r="Q40" s="321" t="s">
        <v>319</v>
      </c>
      <c r="R40" s="24" t="s">
        <v>320</v>
      </c>
      <c r="S40" s="1" t="s">
        <v>321</v>
      </c>
      <c r="T40" s="59" t="s">
        <v>326</v>
      </c>
      <c r="U40" s="380">
        <v>5</v>
      </c>
      <c r="V40" s="60">
        <v>4</v>
      </c>
    </row>
    <row r="41" spans="2:24">
      <c r="B41" s="84" t="s">
        <v>157</v>
      </c>
      <c r="C41" s="1">
        <v>9</v>
      </c>
      <c r="J41" s="105" t="s">
        <v>59</v>
      </c>
      <c r="K41" s="106">
        <f>HL!K59</f>
        <v>0</v>
      </c>
      <c r="L41" s="23">
        <f>IF(AND(K41=1,OR(K37=1,K37=2,K37=3,K37=5,K37=6)),1,0)</f>
        <v>0</v>
      </c>
      <c r="M41" s="24">
        <f>IF(AND(K41=1,K37=4),1,0)</f>
        <v>0</v>
      </c>
      <c r="N41" s="1"/>
      <c r="Q41" s="321" t="s">
        <v>322</v>
      </c>
      <c r="R41" s="24" t="s">
        <v>323</v>
      </c>
      <c r="S41" s="1"/>
      <c r="T41" s="59" t="s">
        <v>327</v>
      </c>
      <c r="U41" s="380">
        <v>4</v>
      </c>
      <c r="V41" s="60"/>
    </row>
    <row r="42" spans="2:24">
      <c r="B42" s="85" t="s">
        <v>158</v>
      </c>
      <c r="C42" s="86">
        <v>10</v>
      </c>
      <c r="J42" s="105" t="s">
        <v>312</v>
      </c>
      <c r="K42" s="106">
        <f>HL!K60</f>
        <v>0</v>
      </c>
      <c r="L42" s="321">
        <f>IF(AND(K42=1,OR(K37=1,K37=2,K37=3)),1,0)</f>
        <v>0</v>
      </c>
      <c r="M42" s="24">
        <f>IF(AND(K42=1,OR(K37=4,K37=5,K37=6)),1,0)</f>
        <v>0</v>
      </c>
      <c r="N42" s="1"/>
      <c r="Q42" s="321" t="s">
        <v>324</v>
      </c>
      <c r="R42" s="24" t="s">
        <v>325</v>
      </c>
      <c r="S42" s="1"/>
      <c r="T42" s="59" t="s">
        <v>329</v>
      </c>
      <c r="U42" s="380" t="s">
        <v>328</v>
      </c>
      <c r="V42" s="60"/>
    </row>
    <row r="43" spans="2:24">
      <c r="B43" s="84" t="s">
        <v>102</v>
      </c>
      <c r="C43" s="1">
        <v>1</v>
      </c>
      <c r="J43" s="390" t="s">
        <v>339</v>
      </c>
      <c r="K43" s="391"/>
      <c r="L43" s="321">
        <f>IF(OR(K37=1,K37=2,K37=3),1,0)</f>
        <v>0</v>
      </c>
      <c r="M43" s="24"/>
      <c r="N43" s="1">
        <f>IF(OR(K37=4,K37=5,K37=6),1,0)</f>
        <v>0</v>
      </c>
      <c r="Q43" s="321" t="s">
        <v>324</v>
      </c>
      <c r="R43" s="24"/>
      <c r="S43" s="1" t="s">
        <v>325</v>
      </c>
      <c r="T43" s="59" t="s">
        <v>329</v>
      </c>
      <c r="U43" s="380"/>
      <c r="V43" s="60" t="s">
        <v>328</v>
      </c>
    </row>
    <row r="44" spans="2:24" ht="19.5" thickBot="1">
      <c r="B44" s="84" t="s">
        <v>103</v>
      </c>
      <c r="C44" s="1">
        <v>2</v>
      </c>
      <c r="J44" s="28" t="s">
        <v>340</v>
      </c>
      <c r="K44" s="2"/>
      <c r="L44" s="23">
        <f>IF(OR(K37=1,K37=2,K37=3,K37=6),1,0)</f>
        <v>0</v>
      </c>
      <c r="M44" s="24">
        <f>IF(K37=5,1,0)</f>
        <v>0</v>
      </c>
      <c r="N44" s="1">
        <f>IF(K37=4,1,0)</f>
        <v>0</v>
      </c>
      <c r="Q44" s="28" t="s">
        <v>338</v>
      </c>
      <c r="R44" s="29" t="s">
        <v>335</v>
      </c>
      <c r="S44" s="2" t="s">
        <v>336</v>
      </c>
      <c r="T44" s="74" t="s">
        <v>337</v>
      </c>
      <c r="U44" s="74">
        <v>5</v>
      </c>
      <c r="V44" s="62">
        <v>4</v>
      </c>
    </row>
    <row r="45" spans="2:24">
      <c r="B45" s="84" t="s">
        <v>104</v>
      </c>
      <c r="C45" s="1">
        <v>3</v>
      </c>
      <c r="J45" s="23" t="s">
        <v>330</v>
      </c>
      <c r="K45" s="1"/>
      <c r="L45" s="21">
        <f>+IF(COUNTIF(L40:L43,1)&gt;0,1,0)</f>
        <v>0</v>
      </c>
      <c r="M45" s="22">
        <f>+IF(COUNTIF(M40:M43,1)&gt;0,1,0)</f>
        <v>0</v>
      </c>
      <c r="N45" s="45">
        <f>+IF(COUNTIF(N40:N43,1)&gt;0,1,0)</f>
        <v>0</v>
      </c>
    </row>
    <row r="46" spans="2:24" ht="19.5" thickBot="1">
      <c r="B46" s="84" t="s">
        <v>86</v>
      </c>
      <c r="C46" s="1">
        <v>4</v>
      </c>
      <c r="J46" s="28" t="s">
        <v>331</v>
      </c>
      <c r="K46" s="2"/>
      <c r="L46" s="29">
        <f>+IF((L40+L41+L42+L44)&gt;0,1,0)</f>
        <v>0</v>
      </c>
      <c r="M46" s="29">
        <f>+IF((M40+M41+M42+M44)&gt;0,1,0)</f>
        <v>0</v>
      </c>
      <c r="N46" s="2">
        <f>+IF((N40+N41+N42+N44)&gt;0,1,0)</f>
        <v>0</v>
      </c>
      <c r="Q46" s="233"/>
      <c r="V46" s="233"/>
    </row>
    <row r="47" spans="2:24" ht="19.5" thickBot="1">
      <c r="B47" s="84" t="s">
        <v>105</v>
      </c>
      <c r="C47" s="1">
        <v>5</v>
      </c>
    </row>
    <row r="48" spans="2:24">
      <c r="B48" s="84" t="s">
        <v>106</v>
      </c>
      <c r="C48" s="1">
        <v>6</v>
      </c>
      <c r="J48" s="233" t="s">
        <v>255</v>
      </c>
      <c r="K48" s="21" t="s">
        <v>330</v>
      </c>
      <c r="L48" s="45">
        <f>IF(L45=1,1,IF(M45=1,2,3))</f>
        <v>3</v>
      </c>
    </row>
    <row r="49" spans="2:12" ht="19.5" thickBot="1">
      <c r="B49" s="84" t="s">
        <v>107</v>
      </c>
      <c r="C49" s="1">
        <v>7</v>
      </c>
      <c r="K49" s="28" t="s">
        <v>331</v>
      </c>
      <c r="L49" s="2">
        <f>IF(L46=1,1,IF(M46=1,2,3))</f>
        <v>3</v>
      </c>
    </row>
    <row r="50" spans="2:12">
      <c r="B50" s="84" t="s">
        <v>108</v>
      </c>
      <c r="C50" s="1">
        <v>8</v>
      </c>
    </row>
    <row r="51" spans="2:12">
      <c r="B51" s="84" t="s">
        <v>109</v>
      </c>
      <c r="C51" s="1">
        <v>9</v>
      </c>
    </row>
    <row r="52" spans="2:12">
      <c r="B52" s="114" t="s">
        <v>159</v>
      </c>
      <c r="C52" s="86">
        <v>10</v>
      </c>
      <c r="L52" t="s">
        <v>256</v>
      </c>
    </row>
    <row r="53" spans="2:12">
      <c r="B53" s="111" t="s">
        <v>160</v>
      </c>
      <c r="C53" s="1">
        <v>1</v>
      </c>
      <c r="L53" t="s">
        <v>257</v>
      </c>
    </row>
    <row r="54" spans="2:12">
      <c r="B54" s="111" t="s">
        <v>161</v>
      </c>
      <c r="C54" s="1">
        <v>2</v>
      </c>
      <c r="L54" t="s">
        <v>258</v>
      </c>
    </row>
    <row r="55" spans="2:12">
      <c r="B55" s="111" t="s">
        <v>162</v>
      </c>
      <c r="C55" s="1">
        <v>3</v>
      </c>
    </row>
    <row r="56" spans="2:12">
      <c r="B56" s="111" t="s">
        <v>163</v>
      </c>
      <c r="C56" s="1">
        <v>4</v>
      </c>
    </row>
    <row r="57" spans="2:12">
      <c r="B57" s="111" t="s">
        <v>164</v>
      </c>
      <c r="C57" s="1">
        <v>5</v>
      </c>
    </row>
    <row r="58" spans="2:12">
      <c r="B58" s="111" t="s">
        <v>165</v>
      </c>
      <c r="C58" s="1">
        <v>6</v>
      </c>
    </row>
    <row r="59" spans="2:12">
      <c r="B59" s="111" t="s">
        <v>166</v>
      </c>
      <c r="C59" s="1">
        <v>7</v>
      </c>
    </row>
    <row r="60" spans="2:12">
      <c r="B60" s="111" t="s">
        <v>167</v>
      </c>
      <c r="C60" s="1">
        <v>8</v>
      </c>
    </row>
    <row r="61" spans="2:12">
      <c r="B61" s="111" t="s">
        <v>168</v>
      </c>
      <c r="C61" s="1">
        <v>9</v>
      </c>
    </row>
    <row r="62" spans="2:12">
      <c r="B62" s="113" t="s">
        <v>169</v>
      </c>
      <c r="C62" s="86">
        <v>10</v>
      </c>
    </row>
    <row r="63" spans="2:12">
      <c r="B63" s="111" t="s">
        <v>170</v>
      </c>
      <c r="C63" s="1">
        <v>1</v>
      </c>
    </row>
    <row r="64" spans="2:12">
      <c r="B64" s="111" t="s">
        <v>171</v>
      </c>
      <c r="C64" s="1">
        <v>2</v>
      </c>
    </row>
    <row r="65" spans="2:3">
      <c r="B65" s="111" t="s">
        <v>172</v>
      </c>
      <c r="C65" s="1">
        <v>3</v>
      </c>
    </row>
    <row r="66" spans="2:3">
      <c r="B66" s="111" t="s">
        <v>173</v>
      </c>
      <c r="C66" s="1">
        <v>4</v>
      </c>
    </row>
    <row r="67" spans="2:3">
      <c r="B67" s="111" t="s">
        <v>174</v>
      </c>
      <c r="C67" s="1">
        <v>5</v>
      </c>
    </row>
    <row r="68" spans="2:3">
      <c r="B68" s="111" t="s">
        <v>175</v>
      </c>
      <c r="C68" s="1">
        <v>6</v>
      </c>
    </row>
    <row r="69" spans="2:3">
      <c r="B69" s="111" t="s">
        <v>176</v>
      </c>
      <c r="C69" s="1">
        <v>7</v>
      </c>
    </row>
    <row r="70" spans="2:3">
      <c r="B70" s="111" t="s">
        <v>177</v>
      </c>
      <c r="C70" s="1">
        <v>8</v>
      </c>
    </row>
    <row r="71" spans="2:3">
      <c r="B71" s="111" t="s">
        <v>178</v>
      </c>
      <c r="C71" s="1">
        <v>9</v>
      </c>
    </row>
    <row r="72" spans="2:3" ht="19.5" thickBot="1">
      <c r="B72" s="112" t="s">
        <v>179</v>
      </c>
      <c r="C72" s="2">
        <v>10</v>
      </c>
    </row>
  </sheetData>
  <sheetProtection selectLockedCells="1" selectUnlockedCells="1"/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S38"/>
  <sheetViews>
    <sheetView workbookViewId="0">
      <selection activeCell="E9" sqref="E9:M9"/>
    </sheetView>
  </sheetViews>
  <sheetFormatPr defaultColWidth="8.875" defaultRowHeight="18.75"/>
  <cols>
    <col min="7" max="8" width="8.875" style="40"/>
    <col min="11" max="11" width="8.875" style="40"/>
    <col min="13" max="13" width="8.875" style="40"/>
    <col min="15" max="15" width="8.875" style="40"/>
    <col min="17" max="17" width="8.875" style="40"/>
    <col min="19" max="19" width="8.875" style="40"/>
  </cols>
  <sheetData>
    <row r="2" spans="2:19" ht="19.5" thickBot="1"/>
    <row r="3" spans="2:19" ht="19.5" thickBot="1">
      <c r="J3" s="54" t="s">
        <v>357</v>
      </c>
      <c r="K3" s="399"/>
      <c r="L3" s="435" t="s">
        <v>358</v>
      </c>
      <c r="M3" s="436"/>
      <c r="N3" s="435" t="s">
        <v>359</v>
      </c>
      <c r="O3" s="436"/>
      <c r="P3" s="435" t="s">
        <v>360</v>
      </c>
      <c r="Q3" s="436"/>
      <c r="R3" s="435" t="s">
        <v>362</v>
      </c>
      <c r="S3" s="436"/>
    </row>
    <row r="4" spans="2:19">
      <c r="B4" t="s">
        <v>342</v>
      </c>
      <c r="F4" s="21"/>
      <c r="G4" s="68" t="s">
        <v>21</v>
      </c>
      <c r="H4" s="382"/>
      <c r="J4" s="321" t="s">
        <v>361</v>
      </c>
      <c r="K4" s="60"/>
      <c r="L4" s="437">
        <v>1</v>
      </c>
      <c r="M4" s="438">
        <v>6</v>
      </c>
      <c r="N4" s="437">
        <v>1</v>
      </c>
      <c r="O4" s="439">
        <v>6</v>
      </c>
      <c r="P4" s="437">
        <v>1</v>
      </c>
      <c r="Q4" s="438">
        <v>4</v>
      </c>
      <c r="R4" s="437" t="s">
        <v>369</v>
      </c>
      <c r="S4" s="439">
        <v>6</v>
      </c>
    </row>
    <row r="5" spans="2:19" ht="19.5" thickBot="1">
      <c r="F5" s="61" t="s">
        <v>21</v>
      </c>
      <c r="G5" s="74" t="s">
        <v>389</v>
      </c>
      <c r="H5" s="383" t="s">
        <v>378</v>
      </c>
      <c r="J5" s="321">
        <v>1.1000000000000001</v>
      </c>
      <c r="K5" s="60">
        <v>6</v>
      </c>
      <c r="L5" s="437">
        <v>2</v>
      </c>
      <c r="M5" s="438">
        <v>4</v>
      </c>
      <c r="N5" s="437">
        <v>2</v>
      </c>
      <c r="O5" s="439">
        <v>4</v>
      </c>
      <c r="P5" s="440" t="s">
        <v>343</v>
      </c>
      <c r="Q5" s="441" t="s">
        <v>200</v>
      </c>
      <c r="R5" s="437" t="s">
        <v>370</v>
      </c>
      <c r="S5" s="439">
        <v>6</v>
      </c>
    </row>
    <row r="6" spans="2:19" ht="19.5" thickBot="1">
      <c r="B6" s="21">
        <v>1</v>
      </c>
      <c r="C6" s="22" t="s">
        <v>355</v>
      </c>
      <c r="D6" s="45"/>
      <c r="F6" s="58" t="str">
        <f>IF(+実施シート!F13="","-",+実施シート!F13)</f>
        <v>-</v>
      </c>
      <c r="G6" s="68" t="str">
        <f>IF(COUNTIF(J4:J13,F6),F6,"-")</f>
        <v>-</v>
      </c>
      <c r="H6" s="382" t="str">
        <f>+VLOOKUP(G6,J4:K13,2,FALSE)</f>
        <v>-</v>
      </c>
      <c r="J6" s="321">
        <v>1.2</v>
      </c>
      <c r="K6" s="60">
        <v>6</v>
      </c>
      <c r="L6" s="442" t="s">
        <v>343</v>
      </c>
      <c r="M6" s="441" t="s">
        <v>200</v>
      </c>
      <c r="N6" s="443">
        <v>3</v>
      </c>
      <c r="O6" s="444" t="s">
        <v>200</v>
      </c>
      <c r="P6" t="s">
        <v>379</v>
      </c>
      <c r="Q6" s="40" t="s">
        <v>379</v>
      </c>
      <c r="R6" s="443" t="s">
        <v>371</v>
      </c>
      <c r="S6" s="439">
        <v>6</v>
      </c>
    </row>
    <row r="7" spans="2:19" ht="19.5" thickBot="1">
      <c r="B7" s="321">
        <v>2</v>
      </c>
      <c r="C7" s="397" t="s">
        <v>193</v>
      </c>
      <c r="D7" s="1"/>
      <c r="F7" s="403"/>
      <c r="G7" s="384"/>
      <c r="H7" s="404"/>
      <c r="J7" s="321">
        <v>1.3</v>
      </c>
      <c r="K7" s="60">
        <v>6</v>
      </c>
      <c r="L7" t="s">
        <v>379</v>
      </c>
      <c r="M7" s="40" t="s">
        <v>379</v>
      </c>
      <c r="N7" s="440" t="s">
        <v>343</v>
      </c>
      <c r="O7" s="445" t="s">
        <v>200</v>
      </c>
      <c r="Q7" s="40" t="s">
        <v>379</v>
      </c>
      <c r="R7" s="437" t="s">
        <v>372</v>
      </c>
      <c r="S7" s="439">
        <v>4</v>
      </c>
    </row>
    <row r="8" spans="2:19" ht="19.5" thickBot="1">
      <c r="B8" s="321">
        <v>3</v>
      </c>
      <c r="C8" s="398" t="s">
        <v>194</v>
      </c>
      <c r="D8" s="1"/>
      <c r="F8" s="403"/>
      <c r="G8" s="384"/>
      <c r="H8" s="404"/>
      <c r="J8" s="321">
        <v>1.4</v>
      </c>
      <c r="K8" s="60">
        <v>6</v>
      </c>
      <c r="M8" s="40" t="s">
        <v>379</v>
      </c>
      <c r="N8" t="s">
        <v>379</v>
      </c>
      <c r="O8" s="40" t="s">
        <v>379</v>
      </c>
      <c r="R8" s="440" t="s">
        <v>343</v>
      </c>
      <c r="S8" s="445" t="s">
        <v>379</v>
      </c>
    </row>
    <row r="9" spans="2:19">
      <c r="B9" s="321">
        <v>4</v>
      </c>
      <c r="C9" s="398" t="s">
        <v>195</v>
      </c>
      <c r="D9" s="1"/>
      <c r="F9" s="403"/>
      <c r="G9" s="384"/>
      <c r="H9" s="404"/>
      <c r="J9" s="321">
        <v>1.5</v>
      </c>
      <c r="K9" s="60">
        <v>6</v>
      </c>
      <c r="O9" s="40" t="s">
        <v>379</v>
      </c>
      <c r="R9" t="s">
        <v>379</v>
      </c>
      <c r="S9" s="40" t="s">
        <v>379</v>
      </c>
    </row>
    <row r="10" spans="2:19">
      <c r="B10" s="321">
        <v>5</v>
      </c>
      <c r="C10" s="398" t="s">
        <v>196</v>
      </c>
      <c r="D10" s="1"/>
      <c r="F10" s="403"/>
      <c r="G10" s="384"/>
      <c r="H10" s="404"/>
      <c r="J10" s="321">
        <v>1.6</v>
      </c>
      <c r="K10" s="60">
        <v>6</v>
      </c>
      <c r="S10" s="40" t="s">
        <v>379</v>
      </c>
    </row>
    <row r="11" spans="2:19" ht="19.5" thickBot="1">
      <c r="B11" s="321">
        <v>6</v>
      </c>
      <c r="C11" s="24" t="s">
        <v>356</v>
      </c>
      <c r="D11" s="1"/>
      <c r="F11" s="59" t="str">
        <f>IF(+実施シート!F14="","-",+実施シート!F14)</f>
        <v>-</v>
      </c>
      <c r="G11" s="384" t="str">
        <f>IF(COUNTIF(J16:J22,F11),F11,"-")</f>
        <v>-</v>
      </c>
      <c r="H11" s="37" t="str">
        <f>+VLOOKUP(G11,J16:K22,2,FALSE)</f>
        <v>-</v>
      </c>
      <c r="J11" s="28" t="s">
        <v>343</v>
      </c>
      <c r="K11" s="62" t="s">
        <v>200</v>
      </c>
    </row>
    <row r="12" spans="2:19">
      <c r="B12" s="321">
        <v>7</v>
      </c>
      <c r="C12" s="24" t="s">
        <v>345</v>
      </c>
      <c r="D12" s="1"/>
      <c r="F12" s="59" t="str">
        <f>IF(+実施シート!F15="","-",+実施シート!F15)</f>
        <v>-</v>
      </c>
      <c r="G12" s="384" t="str">
        <f>IF(COUNTIF(L16:L20,F12),F12,"-")</f>
        <v>-</v>
      </c>
      <c r="H12" s="37" t="str">
        <f>+VLOOKUP(G12,L16:M20,2,FALSE)</f>
        <v>-</v>
      </c>
      <c r="J12" t="s">
        <v>379</v>
      </c>
      <c r="K12" s="40" t="s">
        <v>379</v>
      </c>
    </row>
    <row r="13" spans="2:19">
      <c r="B13" s="321">
        <v>8</v>
      </c>
      <c r="C13" s="24" t="s">
        <v>346</v>
      </c>
      <c r="D13" s="1"/>
      <c r="F13" s="59" t="str">
        <f>IF(+実施シート!F16="","-",+実施シート!F16)</f>
        <v>-</v>
      </c>
      <c r="G13" s="384" t="str">
        <f>IF(COUNTIF(N16:N25,F13),F13,"-")</f>
        <v>-</v>
      </c>
      <c r="H13" s="37" t="str">
        <f>+VLOOKUP(G13,N16:O25,2,FALSE)</f>
        <v>-</v>
      </c>
      <c r="K13" s="40" t="s">
        <v>379</v>
      </c>
    </row>
    <row r="14" spans="2:19" ht="19.5" thickBot="1">
      <c r="B14" s="321">
        <v>9</v>
      </c>
      <c r="C14" s="24" t="s">
        <v>347</v>
      </c>
      <c r="D14" s="1"/>
      <c r="F14" s="59" t="str">
        <f>IF(+実施シート!F17="","-",+実施シート!F17)</f>
        <v>-</v>
      </c>
      <c r="G14" s="384" t="str">
        <f>IF(COUNTIF(P16:P20,F14),F14,"-")</f>
        <v>-</v>
      </c>
      <c r="H14" s="37" t="str">
        <f>+VLOOKUP(G14,P16:Q20,2,FALSE)</f>
        <v>-</v>
      </c>
    </row>
    <row r="15" spans="2:19" ht="19.5" thickBot="1">
      <c r="B15" s="321">
        <v>10</v>
      </c>
      <c r="C15" s="24" t="s">
        <v>348</v>
      </c>
      <c r="D15" s="1"/>
      <c r="F15" s="59" t="str">
        <f>IF(+実施シート!F18="","-",+実施シート!F18)</f>
        <v>-</v>
      </c>
      <c r="G15" s="384" t="str">
        <f>IF(COUNTIF(P16:P20,F15),F15,"-")</f>
        <v>-</v>
      </c>
      <c r="H15" s="37" t="str">
        <f>+VLOOKUP(G15,P16:Q20,2,FALSE)</f>
        <v>-</v>
      </c>
      <c r="J15" s="54" t="s">
        <v>363</v>
      </c>
      <c r="K15" s="399"/>
      <c r="L15" s="54" t="s">
        <v>364</v>
      </c>
      <c r="M15" s="400"/>
      <c r="N15" s="54" t="s">
        <v>365</v>
      </c>
      <c r="O15" s="399"/>
      <c r="P15" s="55" t="s">
        <v>366</v>
      </c>
      <c r="Q15" s="399"/>
      <c r="R15" s="54" t="s">
        <v>367</v>
      </c>
      <c r="S15" s="399"/>
    </row>
    <row r="16" spans="2:19">
      <c r="B16" s="321">
        <v>11</v>
      </c>
      <c r="C16" s="24" t="s">
        <v>349</v>
      </c>
      <c r="D16" s="1"/>
      <c r="F16" s="59" t="str">
        <f>IF(+実施シート!F19="","-",+実施シート!F19)</f>
        <v>-</v>
      </c>
      <c r="G16" s="384" t="str">
        <f>IF(COUNTIF(R16:R20,F16),F16,"-")</f>
        <v>-</v>
      </c>
      <c r="H16" s="37" t="str">
        <f>+VLOOKUP(G16,R16:S20,2,FALSE)</f>
        <v>-</v>
      </c>
      <c r="J16" s="321">
        <v>1</v>
      </c>
      <c r="K16" s="60">
        <v>6</v>
      </c>
      <c r="L16" s="321">
        <v>1</v>
      </c>
      <c r="M16" s="384">
        <v>4</v>
      </c>
      <c r="N16" s="321" t="s">
        <v>387</v>
      </c>
      <c r="O16" s="60">
        <v>6</v>
      </c>
      <c r="P16" s="24">
        <v>1</v>
      </c>
      <c r="Q16" s="492">
        <v>6</v>
      </c>
      <c r="R16" s="321">
        <v>1</v>
      </c>
      <c r="S16" s="492">
        <v>6</v>
      </c>
    </row>
    <row r="17" spans="2:19">
      <c r="B17" s="321">
        <v>12</v>
      </c>
      <c r="C17" s="24" t="s">
        <v>350</v>
      </c>
      <c r="D17" s="1"/>
      <c r="F17" s="59" t="str">
        <f>IF(+実施シート!F20="","-",+実施シート!F20)</f>
        <v>-</v>
      </c>
      <c r="G17" s="384" t="str">
        <f>IF(COUNTIF(J28:J33,F17),F17,"-")</f>
        <v>-</v>
      </c>
      <c r="H17" s="37" t="str">
        <f>+VLOOKUP(G17,J28:K33,2,FALSE)</f>
        <v>-</v>
      </c>
      <c r="J17" s="321">
        <v>2</v>
      </c>
      <c r="K17" s="60">
        <v>4</v>
      </c>
      <c r="L17" s="321">
        <v>2</v>
      </c>
      <c r="M17" s="384">
        <v>4</v>
      </c>
      <c r="N17" s="321" t="s">
        <v>381</v>
      </c>
      <c r="O17" s="60">
        <v>6</v>
      </c>
      <c r="P17" s="24" t="s">
        <v>343</v>
      </c>
      <c r="Q17" s="60" t="s">
        <v>200</v>
      </c>
      <c r="R17" s="321">
        <v>2</v>
      </c>
      <c r="S17" s="493">
        <v>4</v>
      </c>
    </row>
    <row r="18" spans="2:19" ht="19.5" thickBot="1">
      <c r="B18" s="321">
        <v>13</v>
      </c>
      <c r="C18" s="24" t="s">
        <v>351</v>
      </c>
      <c r="D18" s="1"/>
      <c r="F18" s="59" t="str">
        <f>IF(+実施シート!F21="","-",+実施シート!F21)</f>
        <v>-</v>
      </c>
      <c r="G18" s="384" t="str">
        <f>IF(COUNTIF(L28:L33,F18),F18,"-")</f>
        <v>-</v>
      </c>
      <c r="H18" s="37" t="str">
        <f>+VLOOKUP(G18,L28:M33,2,FALSE)</f>
        <v>-</v>
      </c>
      <c r="J18" s="321">
        <v>3</v>
      </c>
      <c r="K18" s="60">
        <v>2</v>
      </c>
      <c r="L18" s="28" t="s">
        <v>343</v>
      </c>
      <c r="M18" s="74" t="s">
        <v>379</v>
      </c>
      <c r="N18" s="321" t="s">
        <v>388</v>
      </c>
      <c r="O18" s="60">
        <v>4</v>
      </c>
      <c r="P18" s="29" t="s">
        <v>390</v>
      </c>
      <c r="Q18" s="62" t="s">
        <v>200</v>
      </c>
      <c r="R18" s="28" t="s">
        <v>344</v>
      </c>
      <c r="S18" s="62" t="s">
        <v>379</v>
      </c>
    </row>
    <row r="19" spans="2:19">
      <c r="B19" s="321">
        <v>14</v>
      </c>
      <c r="C19" s="24" t="s">
        <v>352</v>
      </c>
      <c r="D19" s="1"/>
      <c r="F19" s="59" t="str">
        <f>IF(+実施シート!F22="","-",+実施シート!F22)</f>
        <v>-</v>
      </c>
      <c r="G19" s="384" t="str">
        <f>IF(COUNTIF(N28:N33,F19),F19,"-")</f>
        <v>-</v>
      </c>
      <c r="H19" s="37" t="str">
        <f>+VLOOKUP(G19,N28:O33,2,FALSE)</f>
        <v>-</v>
      </c>
      <c r="J19" s="321">
        <v>4</v>
      </c>
      <c r="K19" s="60">
        <v>1</v>
      </c>
      <c r="L19" t="s">
        <v>379</v>
      </c>
      <c r="M19" s="40" t="s">
        <v>379</v>
      </c>
      <c r="N19" s="321" t="s">
        <v>383</v>
      </c>
      <c r="O19" s="60">
        <v>4</v>
      </c>
      <c r="P19" t="s">
        <v>379</v>
      </c>
      <c r="Q19" s="40" t="s">
        <v>379</v>
      </c>
      <c r="R19" t="s">
        <v>379</v>
      </c>
      <c r="S19" s="40" t="s">
        <v>379</v>
      </c>
    </row>
    <row r="20" spans="2:19" ht="19.5" thickBot="1">
      <c r="B20" s="321">
        <v>15</v>
      </c>
      <c r="C20" s="24" t="s">
        <v>353</v>
      </c>
      <c r="D20" s="1"/>
      <c r="F20" s="59" t="str">
        <f>IF(+実施シート!F23="","-",+実施シート!F23)</f>
        <v>-</v>
      </c>
      <c r="G20" s="384" t="str">
        <f>IF(COUNTIF(P28:P37,F20),F20,"-")</f>
        <v>-</v>
      </c>
      <c r="H20" s="37" t="str">
        <f>+VLOOKUP(G20,P28:Q37,2,FALSE)</f>
        <v>-</v>
      </c>
      <c r="J20" s="28" t="s">
        <v>373</v>
      </c>
      <c r="K20" s="62" t="s">
        <v>200</v>
      </c>
      <c r="M20" s="40" t="s">
        <v>379</v>
      </c>
      <c r="N20" s="321" t="s">
        <v>384</v>
      </c>
      <c r="O20" s="60">
        <v>4</v>
      </c>
      <c r="Q20" s="40" t="s">
        <v>379</v>
      </c>
      <c r="S20" s="40" t="s">
        <v>379</v>
      </c>
    </row>
    <row r="21" spans="2:19" ht="19.5" thickBot="1">
      <c r="B21" s="28">
        <v>16</v>
      </c>
      <c r="C21" s="29" t="s">
        <v>354</v>
      </c>
      <c r="D21" s="2"/>
      <c r="F21" s="61" t="str">
        <f>IF(+実施シート!F24="","-",+実施シート!F24)</f>
        <v>-</v>
      </c>
      <c r="G21" s="74" t="str">
        <f>IF(COUNTIF(R28:R31,F21),F21,"-")</f>
        <v>-</v>
      </c>
      <c r="H21" s="383" t="str">
        <f>+VLOOKUP(G21,R28:S31,2,FALSE)</f>
        <v>-</v>
      </c>
      <c r="J21" t="s">
        <v>379</v>
      </c>
      <c r="K21" s="40" t="s">
        <v>379</v>
      </c>
      <c r="N21" s="321" t="s">
        <v>385</v>
      </c>
      <c r="O21" s="60">
        <v>4</v>
      </c>
    </row>
    <row r="22" spans="2:19">
      <c r="K22" s="40" t="s">
        <v>379</v>
      </c>
      <c r="N22" s="390" t="s">
        <v>386</v>
      </c>
      <c r="O22" s="60" t="s">
        <v>379</v>
      </c>
    </row>
    <row r="23" spans="2:19" ht="19.5" thickBot="1">
      <c r="G23" s="40" t="s">
        <v>391</v>
      </c>
      <c r="H23" s="40">
        <f>MAX(H6:H21)</f>
        <v>0</v>
      </c>
      <c r="N23" s="28" t="s">
        <v>343</v>
      </c>
      <c r="O23" s="62" t="s">
        <v>200</v>
      </c>
    </row>
    <row r="24" spans="2:19">
      <c r="N24" t="s">
        <v>379</v>
      </c>
      <c r="O24" s="40" t="s">
        <v>379</v>
      </c>
    </row>
    <row r="25" spans="2:19">
      <c r="O25" s="40" t="s">
        <v>379</v>
      </c>
    </row>
    <row r="26" spans="2:19" ht="19.5" thickBot="1"/>
    <row r="27" spans="2:19" ht="19.5" thickBot="1">
      <c r="J27" s="54" t="s">
        <v>374</v>
      </c>
      <c r="K27" s="399"/>
      <c r="L27" s="54" t="s">
        <v>375</v>
      </c>
      <c r="M27" s="399"/>
      <c r="N27" s="54" t="s">
        <v>376</v>
      </c>
      <c r="O27" s="399"/>
      <c r="P27" s="54" t="s">
        <v>368</v>
      </c>
      <c r="Q27" s="399"/>
      <c r="R27" s="54" t="s">
        <v>377</v>
      </c>
      <c r="S27" s="399"/>
    </row>
    <row r="28" spans="2:19">
      <c r="J28" s="321">
        <v>1</v>
      </c>
      <c r="K28" s="60">
        <v>6</v>
      </c>
      <c r="L28" s="321">
        <v>1</v>
      </c>
      <c r="M28" s="60">
        <v>4</v>
      </c>
      <c r="N28" s="321">
        <v>1</v>
      </c>
      <c r="O28" s="60">
        <v>4</v>
      </c>
      <c r="P28" s="321" t="s">
        <v>380</v>
      </c>
      <c r="Q28" s="492">
        <v>6</v>
      </c>
      <c r="R28" s="321">
        <v>1</v>
      </c>
      <c r="S28" s="60">
        <v>4</v>
      </c>
    </row>
    <row r="29" spans="2:19" ht="19.5" thickBot="1">
      <c r="J29" s="321">
        <v>2</v>
      </c>
      <c r="K29" s="60">
        <v>4</v>
      </c>
      <c r="L29" s="321">
        <v>2</v>
      </c>
      <c r="M29" s="60">
        <v>4</v>
      </c>
      <c r="N29" s="321">
        <v>2</v>
      </c>
      <c r="O29" s="60">
        <v>4</v>
      </c>
      <c r="P29" s="321" t="s">
        <v>381</v>
      </c>
      <c r="Q29" s="492">
        <v>6</v>
      </c>
      <c r="R29" s="28" t="s">
        <v>343</v>
      </c>
      <c r="S29" s="62" t="s">
        <v>200</v>
      </c>
    </row>
    <row r="30" spans="2:19">
      <c r="J30" s="321">
        <v>3</v>
      </c>
      <c r="K30" s="60">
        <v>4</v>
      </c>
      <c r="L30" s="321">
        <v>3</v>
      </c>
      <c r="M30" s="60">
        <v>4</v>
      </c>
      <c r="N30" s="321">
        <v>3</v>
      </c>
      <c r="O30" s="60">
        <v>4</v>
      </c>
      <c r="P30" s="321" t="s">
        <v>382</v>
      </c>
      <c r="Q30" s="492">
        <v>6</v>
      </c>
      <c r="R30" t="s">
        <v>379</v>
      </c>
      <c r="S30" s="40" t="s">
        <v>379</v>
      </c>
    </row>
    <row r="31" spans="2:19" ht="19.5" thickBot="1">
      <c r="J31" s="28" t="s">
        <v>343</v>
      </c>
      <c r="K31" s="62" t="s">
        <v>200</v>
      </c>
      <c r="L31" s="28" t="s">
        <v>343</v>
      </c>
      <c r="M31" s="62" t="s">
        <v>200</v>
      </c>
      <c r="N31" s="28" t="s">
        <v>343</v>
      </c>
      <c r="O31" s="62" t="s">
        <v>200</v>
      </c>
      <c r="P31" s="321" t="s">
        <v>383</v>
      </c>
      <c r="Q31" s="492">
        <v>6</v>
      </c>
      <c r="S31" s="40" t="s">
        <v>379</v>
      </c>
    </row>
    <row r="32" spans="2:19">
      <c r="J32" t="s">
        <v>379</v>
      </c>
      <c r="K32" s="40" t="s">
        <v>379</v>
      </c>
      <c r="L32" t="s">
        <v>379</v>
      </c>
      <c r="M32" s="40" t="s">
        <v>379</v>
      </c>
      <c r="N32" t="s">
        <v>379</v>
      </c>
      <c r="O32" s="40" t="s">
        <v>379</v>
      </c>
      <c r="P32" s="321" t="s">
        <v>384</v>
      </c>
      <c r="Q32" s="492">
        <v>4</v>
      </c>
    </row>
    <row r="33" spans="11:17">
      <c r="K33" s="40" t="s">
        <v>379</v>
      </c>
      <c r="M33" s="40" t="s">
        <v>379</v>
      </c>
      <c r="O33" s="40" t="s">
        <v>379</v>
      </c>
      <c r="P33" s="321" t="s">
        <v>385</v>
      </c>
      <c r="Q33" s="492">
        <v>4</v>
      </c>
    </row>
    <row r="34" spans="11:17">
      <c r="P34" s="321" t="s">
        <v>386</v>
      </c>
      <c r="Q34" s="492">
        <v>2</v>
      </c>
    </row>
    <row r="35" spans="11:17" ht="19.5" thickBot="1">
      <c r="P35" s="28" t="s">
        <v>343</v>
      </c>
      <c r="Q35" s="62" t="s">
        <v>379</v>
      </c>
    </row>
    <row r="36" spans="11:17">
      <c r="P36" t="s">
        <v>379</v>
      </c>
      <c r="Q36" s="40" t="s">
        <v>379</v>
      </c>
    </row>
    <row r="37" spans="11:17">
      <c r="Q37" s="40" t="s">
        <v>379</v>
      </c>
    </row>
    <row r="38" spans="11:17">
      <c r="Q38"/>
    </row>
  </sheetData>
  <sheetProtection password="CC2B" sheet="1" objects="1" scenarios="1"/>
  <phoneticPr fontId="6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4"/>
  <sheetViews>
    <sheetView workbookViewId="0">
      <selection activeCell="E9" sqref="E9:M9"/>
    </sheetView>
  </sheetViews>
  <sheetFormatPr defaultColWidth="8.875" defaultRowHeight="18.75"/>
  <cols>
    <col min="1" max="1" width="4.125" customWidth="1"/>
    <col min="3" max="3" width="20.625" customWidth="1"/>
    <col min="4" max="4" width="20.875" customWidth="1"/>
    <col min="5" max="5" width="11.375" customWidth="1"/>
    <col min="6" max="6" width="12.625" customWidth="1"/>
    <col min="7" max="7" width="18.375" customWidth="1"/>
  </cols>
  <sheetData>
    <row r="4" spans="2:7">
      <c r="B4" t="s">
        <v>463</v>
      </c>
    </row>
    <row r="5" spans="2:7" ht="19.5" thickBot="1">
      <c r="E5" s="40"/>
    </row>
    <row r="6" spans="2:7" ht="19.5" customHeight="1" thickBot="1">
      <c r="C6" s="666" t="s">
        <v>418</v>
      </c>
      <c r="D6" s="668"/>
      <c r="E6" s="666" t="s">
        <v>464</v>
      </c>
      <c r="F6" s="667"/>
      <c r="G6" s="668"/>
    </row>
    <row r="7" spans="2:7" ht="57.75" customHeight="1" thickBot="1">
      <c r="C7" s="641" t="s">
        <v>482</v>
      </c>
      <c r="D7" s="642"/>
      <c r="E7" s="641" t="s">
        <v>483</v>
      </c>
      <c r="F7" s="651"/>
      <c r="G7" s="642"/>
    </row>
    <row r="8" spans="2:7" ht="28.5" customHeight="1">
      <c r="C8" s="659" t="s">
        <v>419</v>
      </c>
      <c r="D8" s="661"/>
      <c r="E8" s="659" t="s">
        <v>300</v>
      </c>
      <c r="F8" s="660"/>
      <c r="G8" s="661"/>
    </row>
    <row r="9" spans="2:7" ht="28.5" customHeight="1">
      <c r="C9" s="662" t="s">
        <v>420</v>
      </c>
      <c r="D9" s="664"/>
      <c r="E9" s="662"/>
      <c r="F9" s="663"/>
      <c r="G9" s="664"/>
    </row>
    <row r="10" spans="2:7" ht="28.5" customHeight="1" thickBot="1">
      <c r="C10" s="652" t="s">
        <v>470</v>
      </c>
      <c r="D10" s="654"/>
      <c r="E10" s="652"/>
      <c r="F10" s="653"/>
      <c r="G10" s="654"/>
    </row>
    <row r="11" spans="2:7" ht="28.5" customHeight="1" thickBot="1">
      <c r="C11" s="641" t="s">
        <v>471</v>
      </c>
      <c r="D11" s="642"/>
      <c r="E11" s="641" t="s">
        <v>460</v>
      </c>
      <c r="F11" s="651"/>
      <c r="G11" s="642"/>
    </row>
    <row r="12" spans="2:7" ht="28.5" customHeight="1" thickBot="1">
      <c r="C12" s="641" t="s">
        <v>421</v>
      </c>
      <c r="D12" s="642"/>
      <c r="E12" s="641" t="s">
        <v>481</v>
      </c>
      <c r="F12" s="651"/>
      <c r="G12" s="642"/>
    </row>
    <row r="13" spans="2:7" ht="28.5" customHeight="1" thickBot="1">
      <c r="C13" s="641" t="s">
        <v>422</v>
      </c>
      <c r="D13" s="642"/>
      <c r="E13" s="641" t="s">
        <v>423</v>
      </c>
      <c r="F13" s="651"/>
      <c r="G13" s="642"/>
    </row>
    <row r="14" spans="2:7" ht="28.5" customHeight="1" thickBot="1">
      <c r="C14" s="652" t="s">
        <v>424</v>
      </c>
      <c r="D14" s="654"/>
      <c r="E14" s="652" t="s">
        <v>425</v>
      </c>
      <c r="F14" s="653"/>
      <c r="G14" s="654"/>
    </row>
    <row r="15" spans="2:7" ht="10.5" customHeight="1" thickBot="1">
      <c r="C15" s="521"/>
      <c r="D15" s="55"/>
      <c r="E15" s="651"/>
      <c r="F15" s="651"/>
      <c r="G15" s="651"/>
    </row>
    <row r="16" spans="2:7" ht="28.5" customHeight="1" thickBot="1">
      <c r="C16" s="641" t="s">
        <v>462</v>
      </c>
      <c r="D16" s="651"/>
      <c r="E16" s="641" t="s">
        <v>461</v>
      </c>
      <c r="F16" s="651"/>
      <c r="G16" s="642"/>
    </row>
    <row r="19" spans="2:7">
      <c r="B19" t="s">
        <v>459</v>
      </c>
    </row>
    <row r="20" spans="2:7" ht="19.5" thickBot="1"/>
    <row r="21" spans="2:7" ht="26.25" thickBot="1">
      <c r="C21" s="522" t="s">
        <v>426</v>
      </c>
      <c r="D21" s="523" t="s">
        <v>427</v>
      </c>
      <c r="E21" s="523" t="s">
        <v>428</v>
      </c>
      <c r="F21" s="523" t="s">
        <v>429</v>
      </c>
      <c r="G21" s="523" t="s">
        <v>430</v>
      </c>
    </row>
    <row r="22" spans="2:7">
      <c r="C22" s="503" t="s">
        <v>431</v>
      </c>
      <c r="D22" s="509" t="s">
        <v>432</v>
      </c>
      <c r="E22" s="650" t="s">
        <v>435</v>
      </c>
      <c r="F22" s="649" t="s">
        <v>436</v>
      </c>
      <c r="G22" s="502" t="s">
        <v>437</v>
      </c>
    </row>
    <row r="23" spans="2:7" ht="19.5" thickBot="1">
      <c r="C23" s="506"/>
      <c r="D23" s="509" t="s">
        <v>476</v>
      </c>
      <c r="E23" s="657"/>
      <c r="F23" s="647"/>
      <c r="G23" s="505" t="s">
        <v>438</v>
      </c>
    </row>
    <row r="24" spans="2:7">
      <c r="C24" s="524" t="s">
        <v>474</v>
      </c>
      <c r="D24" s="509" t="s">
        <v>433</v>
      </c>
      <c r="E24" s="643" t="s">
        <v>439</v>
      </c>
      <c r="F24" s="647"/>
      <c r="G24" s="655" t="s">
        <v>437</v>
      </c>
    </row>
    <row r="25" spans="2:7" ht="19.5" thickBot="1">
      <c r="C25" s="524" t="s">
        <v>475</v>
      </c>
      <c r="D25" s="509" t="s">
        <v>434</v>
      </c>
      <c r="E25" s="657"/>
      <c r="F25" s="647"/>
      <c r="G25" s="656"/>
    </row>
    <row r="26" spans="2:7" ht="19.5" thickBot="1">
      <c r="C26" s="508"/>
      <c r="D26" s="510"/>
      <c r="E26" s="511" t="s">
        <v>440</v>
      </c>
      <c r="F26" s="658"/>
      <c r="G26" s="511"/>
    </row>
    <row r="27" spans="2:7">
      <c r="C27" s="503" t="s">
        <v>441</v>
      </c>
      <c r="D27" s="514"/>
      <c r="E27" s="643" t="s">
        <v>446</v>
      </c>
      <c r="F27" s="646" t="s">
        <v>436</v>
      </c>
      <c r="G27" s="502" t="s">
        <v>437</v>
      </c>
    </row>
    <row r="28" spans="2:7">
      <c r="C28" s="507"/>
      <c r="D28" s="509" t="s">
        <v>442</v>
      </c>
      <c r="E28" s="644"/>
      <c r="F28" s="647"/>
      <c r="G28" s="502" t="s">
        <v>438</v>
      </c>
    </row>
    <row r="29" spans="2:7">
      <c r="C29" s="524" t="s">
        <v>473</v>
      </c>
      <c r="D29" s="509" t="s">
        <v>443</v>
      </c>
      <c r="E29" s="644"/>
      <c r="F29" s="647"/>
      <c r="G29" s="516"/>
    </row>
    <row r="30" spans="2:7">
      <c r="C30" s="507" t="s">
        <v>472</v>
      </c>
      <c r="D30" s="509" t="s">
        <v>444</v>
      </c>
      <c r="E30" s="644"/>
      <c r="F30" s="647"/>
      <c r="G30" s="516"/>
    </row>
    <row r="31" spans="2:7" ht="19.5" thickBot="1">
      <c r="C31" s="512"/>
      <c r="D31" s="509" t="s">
        <v>445</v>
      </c>
      <c r="E31" s="645"/>
      <c r="F31" s="647"/>
      <c r="G31" s="517"/>
    </row>
    <row r="32" spans="2:7" ht="19.5" thickBot="1">
      <c r="C32" s="513"/>
      <c r="D32" s="515"/>
      <c r="E32" s="504" t="s">
        <v>447</v>
      </c>
      <c r="F32" s="648"/>
      <c r="G32" s="505" t="s">
        <v>448</v>
      </c>
    </row>
    <row r="33" spans="2:7" ht="19.5" thickBot="1">
      <c r="C33" s="503" t="s">
        <v>449</v>
      </c>
      <c r="D33" s="514" t="s">
        <v>451</v>
      </c>
      <c r="E33" s="504" t="s">
        <v>453</v>
      </c>
      <c r="F33" s="649" t="s">
        <v>436</v>
      </c>
      <c r="G33" s="505" t="s">
        <v>437</v>
      </c>
    </row>
    <row r="34" spans="2:7" ht="19.5" thickBot="1">
      <c r="C34" s="525" t="s">
        <v>450</v>
      </c>
      <c r="D34" s="518" t="s">
        <v>452</v>
      </c>
      <c r="E34" s="504" t="s">
        <v>454</v>
      </c>
      <c r="F34" s="648"/>
      <c r="G34" s="505" t="s">
        <v>448</v>
      </c>
    </row>
    <row r="35" spans="2:7">
      <c r="C35" s="503" t="s">
        <v>455</v>
      </c>
      <c r="D35" s="509" t="s">
        <v>456</v>
      </c>
      <c r="E35" s="650" t="s">
        <v>453</v>
      </c>
      <c r="F35" s="649" t="s">
        <v>436</v>
      </c>
      <c r="G35" s="655" t="s">
        <v>437</v>
      </c>
    </row>
    <row r="36" spans="2:7" ht="19.5" thickBot="1">
      <c r="C36" s="519" t="s">
        <v>477</v>
      </c>
      <c r="D36" s="509" t="s">
        <v>457</v>
      </c>
      <c r="E36" s="645"/>
      <c r="F36" s="647"/>
      <c r="G36" s="656"/>
    </row>
    <row r="37" spans="2:7" ht="19.5" thickBot="1">
      <c r="C37" s="526" t="s">
        <v>478</v>
      </c>
      <c r="D37" s="520"/>
      <c r="E37" s="504" t="s">
        <v>454</v>
      </c>
      <c r="F37" s="648"/>
      <c r="G37" s="504"/>
    </row>
    <row r="38" spans="2:7" ht="19.5" thickBot="1">
      <c r="C38" s="503" t="s">
        <v>455</v>
      </c>
      <c r="D38" s="509" t="s">
        <v>456</v>
      </c>
      <c r="E38" s="504" t="s">
        <v>458</v>
      </c>
      <c r="F38" s="649" t="s">
        <v>436</v>
      </c>
      <c r="G38" s="505" t="s">
        <v>437</v>
      </c>
    </row>
    <row r="39" spans="2:7" ht="19.5" thickBot="1">
      <c r="C39" s="519" t="s">
        <v>477</v>
      </c>
      <c r="D39" s="509" t="s">
        <v>457</v>
      </c>
      <c r="E39" s="504" t="s">
        <v>439</v>
      </c>
      <c r="F39" s="647"/>
      <c r="G39" s="505" t="s">
        <v>448</v>
      </c>
    </row>
    <row r="40" spans="2:7" ht="19.5" thickBot="1">
      <c r="C40" s="526" t="s">
        <v>479</v>
      </c>
      <c r="D40" s="520"/>
      <c r="E40" s="504" t="s">
        <v>440</v>
      </c>
      <c r="F40" s="648"/>
      <c r="G40" s="504"/>
    </row>
    <row r="42" spans="2:7">
      <c r="C42" s="665" t="s">
        <v>480</v>
      </c>
      <c r="D42" s="665"/>
      <c r="E42" s="665"/>
      <c r="F42" s="665"/>
      <c r="G42" s="665"/>
    </row>
    <row r="43" spans="2:7">
      <c r="C43" s="527"/>
      <c r="D43" s="527"/>
      <c r="E43" s="527"/>
      <c r="F43" s="527"/>
      <c r="G43" s="527"/>
    </row>
    <row r="44" spans="2:7">
      <c r="C44" s="527"/>
      <c r="D44" s="527"/>
      <c r="E44" s="527"/>
      <c r="F44" s="527"/>
      <c r="G44" s="527"/>
    </row>
    <row r="46" spans="2:7">
      <c r="B46" t="s">
        <v>411</v>
      </c>
    </row>
    <row r="48" spans="2:7">
      <c r="C48" s="143" t="s">
        <v>465</v>
      </c>
      <c r="D48" s="143" t="s">
        <v>466</v>
      </c>
      <c r="E48" s="143"/>
      <c r="F48" s="143"/>
    </row>
    <row r="49" spans="3:6">
      <c r="C49" s="143"/>
      <c r="D49" s="143" t="s">
        <v>469</v>
      </c>
      <c r="E49" s="143"/>
      <c r="F49" s="143"/>
    </row>
    <row r="50" spans="3:6">
      <c r="C50" s="143" t="s">
        <v>467</v>
      </c>
      <c r="D50" s="143" t="s">
        <v>468</v>
      </c>
      <c r="E50" s="143"/>
      <c r="F50" s="143"/>
    </row>
    <row r="51" spans="3:6">
      <c r="C51" s="143"/>
      <c r="D51" s="143"/>
      <c r="E51" s="143"/>
      <c r="F51" s="143"/>
    </row>
    <row r="52" spans="3:6">
      <c r="C52" s="495" t="s">
        <v>212</v>
      </c>
      <c r="D52" s="144" t="s">
        <v>214</v>
      </c>
      <c r="F52" s="491" t="s">
        <v>216</v>
      </c>
    </row>
    <row r="53" spans="3:6">
      <c r="C53" s="496" t="s">
        <v>213</v>
      </c>
      <c r="D53" s="143" t="s">
        <v>413</v>
      </c>
      <c r="F53" s="490" t="s">
        <v>414</v>
      </c>
    </row>
    <row r="54" spans="3:6">
      <c r="C54" s="496" t="s">
        <v>217</v>
      </c>
      <c r="D54" s="143"/>
      <c r="F54" s="491" t="s">
        <v>407</v>
      </c>
    </row>
  </sheetData>
  <sheetProtection sheet="1" objects="1" scenarios="1"/>
  <mergeCells count="31">
    <mergeCell ref="E8:G10"/>
    <mergeCell ref="C42:G42"/>
    <mergeCell ref="C14:D14"/>
    <mergeCell ref="C16:D16"/>
    <mergeCell ref="E6:G6"/>
    <mergeCell ref="E7:G7"/>
    <mergeCell ref="E11:G11"/>
    <mergeCell ref="E12:G12"/>
    <mergeCell ref="F38:F40"/>
    <mergeCell ref="C6:D6"/>
    <mergeCell ref="C7:D7"/>
    <mergeCell ref="C8:D8"/>
    <mergeCell ref="C9:D9"/>
    <mergeCell ref="C10:D10"/>
    <mergeCell ref="C11:D11"/>
    <mergeCell ref="C12:D12"/>
    <mergeCell ref="C13:D13"/>
    <mergeCell ref="E27:E31"/>
    <mergeCell ref="F27:F32"/>
    <mergeCell ref="F33:F34"/>
    <mergeCell ref="E35:E36"/>
    <mergeCell ref="F35:F37"/>
    <mergeCell ref="E13:G13"/>
    <mergeCell ref="E14:G14"/>
    <mergeCell ref="E15:G15"/>
    <mergeCell ref="E16:G16"/>
    <mergeCell ref="G35:G36"/>
    <mergeCell ref="E22:E23"/>
    <mergeCell ref="F22:F26"/>
    <mergeCell ref="E24:E25"/>
    <mergeCell ref="G24:G25"/>
  </mergeCells>
  <phoneticPr fontId="6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実施シート</vt:lpstr>
      <vt:lpstr>縮小版</vt:lpstr>
      <vt:lpstr>縮小版data</vt:lpstr>
      <vt:lpstr>法規</vt:lpstr>
      <vt:lpstr>HL</vt:lpstr>
      <vt:lpstr>RL</vt:lpstr>
      <vt:lpstr>CRA</vt:lpstr>
      <vt:lpstr>memo</vt:lpstr>
      <vt:lpstr>Flammable</vt:lpstr>
      <vt:lpstr>Subgroup</vt:lpstr>
      <vt:lpstr>消防法分類</vt:lpstr>
      <vt:lpstr>第四類</vt:lpstr>
      <vt:lpstr>特化物</vt:lpstr>
      <vt:lpstr>毒劇物分類</vt:lpstr>
      <vt:lpstr>有機溶剤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岡宮 寛奈</cp:lastModifiedBy>
  <cp:lastPrinted>2016-04-21T03:55:15Z</cp:lastPrinted>
  <dcterms:created xsi:type="dcterms:W3CDTF">2014-12-06T14:18:51Z</dcterms:created>
  <dcterms:modified xsi:type="dcterms:W3CDTF">2017-01-27T06:08:53Z</dcterms:modified>
</cp:coreProperties>
</file>